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Z:\COMPETITIONS\2024\Pink Show\"/>
    </mc:Choice>
  </mc:AlternateContent>
  <xr:revisionPtr revIDLastSave="0" documentId="13_ncr:1_{846E3654-3AEB-45CD-89A5-9023856C44F8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Registration-orig" sheetId="2" state="hidden" r:id="rId1"/>
    <sheet name="1. LEAD LINE" sheetId="4" r:id="rId2"/>
    <sheet name="2. JUVENILE PLEASURE (No Stal)" sheetId="5" r:id="rId3"/>
    <sheet name="3. RMHA SHOW PLEASURE MARES &amp; G" sheetId="6" r:id="rId4"/>
    <sheet name="4. RMHA AMATEUR TRAIL PLEASURE" sheetId="7" r:id="rId5"/>
    <sheet name="5. RMHA YOUTH 12-17 SHOW PLEASU" sheetId="8" r:id="rId6"/>
    <sheet name="6. RMHA LADIES COUNTRY TRAIL PL" sheetId="9" r:id="rId7"/>
    <sheet name="7. RMHA 3 YEAR OLD SHOW PLEASUR" sheetId="10" r:id="rId8"/>
    <sheet name="8. RMHA TRAIL PLEASURE MARES &amp; " sheetId="11" r:id="rId9"/>
    <sheet name="9. JACK BENNY (55 &amp; OVER) WALK," sheetId="12" r:id="rId10"/>
    <sheet name="10. RMHA 11 AND UNDER TRAIL PLE" sheetId="13" r:id="rId11"/>
    <sheet name="11. RMHA SHOW PLEASURE STALLION" sheetId="14" r:id="rId12"/>
    <sheet name="12. RMHA COUNTRY TRAIL PLEASURE" sheetId="15" r:id="rId13"/>
    <sheet name="13. RMHA NOVICE SHOW PLEASURE" sheetId="16" r:id="rId14"/>
    <sheet name="14. RMHA AOT COUNTRY TRAIL PLEA" sheetId="17" r:id="rId15"/>
    <sheet name="15. RMHA LADIES TRAIL PLEASURE" sheetId="18" r:id="rId16"/>
    <sheet name="16. RMHA 3 YEAR OLD TRAIL PLEAS" sheetId="19" r:id="rId17"/>
    <sheet name="17. RMHA 11 AND UNDER SHOW PLEA" sheetId="20" r:id="rId18"/>
    <sheet name="18. RMHA YOUTH 12-17 TRAIL PLEA" sheetId="21" r:id="rId19"/>
    <sheet name="19. RMHA NOVICE COUNTRY TRAIL P" sheetId="22" r:id="rId20"/>
    <sheet name="20. RMHA AMATEUR SHOW PLEASURE" sheetId="23" r:id="rId21"/>
    <sheet name="21. RMHA 11 AND UNDER COUNTRY T" sheetId="24" r:id="rId22"/>
    <sheet name="22. RMHA COUNTRY TRAIL PLEASURE" sheetId="25" r:id="rId23"/>
    <sheet name="23. PINK CLASS (17 AND UNDER - " sheetId="26" r:id="rId24"/>
    <sheet name="24. PINK CLASS (ADULT)" sheetId="27" r:id="rId25"/>
    <sheet name="25. RMHA AOT TRAIL PLEASURE" sheetId="28" r:id="rId26"/>
    <sheet name="26. RMHA LADIES SHOW PLEASURE" sheetId="29" r:id="rId27"/>
    <sheet name="27. RMHA YOUTH 12-17 COUNTRY TR" sheetId="30" r:id="rId28"/>
    <sheet name="28. RMHA NOVICE TRAIL PLEASURE" sheetId="31" r:id="rId29"/>
    <sheet name="29. RMHA 3 YEAR OLD COUNTRY TRA" sheetId="32" r:id="rId30"/>
    <sheet name="30. RMHA TRAIL PLEASURE STALLIO" sheetId="33" r:id="rId31"/>
    <sheet name="31. RMHA AMATEUR COUNTRY TRAIL " sheetId="34" r:id="rId32"/>
    <sheet name="32. RMHA AOT SHOW PLEASURE" sheetId="35" r:id="rId33"/>
    <sheet name="33. OPEN TRAIL PLEASURE" sheetId="36" r:id="rId34"/>
    <sheet name="34. OPEN SHOWCLASSIC PLEASURE" sheetId="37" r:id="rId35"/>
    <sheet name="35. OPEN COUNTRY TRAIL PLEASURE" sheetId="38" r:id="rId36"/>
    <sheet name="36. RMHA YOUTH TRAIL PLEASURE C" sheetId="39" r:id="rId37"/>
    <sheet name="37. RMHA OPEN COUNTRY TRAIL PLE" sheetId="40" r:id="rId38"/>
    <sheet name="38. RMHA YOUTH SHOW PLEASURE CH" sheetId="41" r:id="rId39"/>
    <sheet name="39. RMHA OPEN TRAIL PLEASURE CH" sheetId="42" r:id="rId40"/>
    <sheet name="40. OPEN PLEASURE CHAMPIONSHIP" sheetId="43" r:id="rId41"/>
    <sheet name="41. RMHA YOUTH COUNTRY TRAIL PL" sheetId="44" r:id="rId42"/>
    <sheet name="42. RMHA OPEN SHOW PLEASURE CHA" sheetId="45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0" i="45" l="1"/>
  <c r="R10" i="45"/>
  <c r="Q10" i="45"/>
  <c r="P10" i="45"/>
  <c r="S9" i="45"/>
  <c r="R9" i="45"/>
  <c r="Q9" i="45"/>
  <c r="P9" i="45"/>
  <c r="S8" i="45"/>
  <c r="R8" i="45"/>
  <c r="Q8" i="45"/>
  <c r="P8" i="45"/>
  <c r="S7" i="45"/>
  <c r="R7" i="45"/>
  <c r="Q7" i="45"/>
  <c r="P7" i="45"/>
  <c r="S6" i="45"/>
  <c r="R6" i="45"/>
  <c r="Q6" i="45"/>
  <c r="P6" i="45"/>
  <c r="D6" i="45"/>
  <c r="C6" i="45"/>
  <c r="B6" i="45"/>
  <c r="A6" i="45"/>
  <c r="S5" i="45"/>
  <c r="R5" i="45"/>
  <c r="Q5" i="45"/>
  <c r="P5" i="45"/>
  <c r="D5" i="45"/>
  <c r="C5" i="45"/>
  <c r="B5" i="45"/>
  <c r="A5" i="45"/>
  <c r="S4" i="45"/>
  <c r="R4" i="45"/>
  <c r="Q4" i="45"/>
  <c r="P4" i="45"/>
  <c r="D4" i="45"/>
  <c r="C4" i="45"/>
  <c r="B4" i="45"/>
  <c r="A4" i="45"/>
  <c r="S3" i="45"/>
  <c r="R3" i="45"/>
  <c r="Q3" i="45"/>
  <c r="P3" i="45"/>
  <c r="D3" i="45"/>
  <c r="C3" i="45"/>
  <c r="B3" i="45"/>
  <c r="A3" i="45"/>
  <c r="S2" i="45"/>
  <c r="R2" i="45"/>
  <c r="Q2" i="45"/>
  <c r="P2" i="45"/>
  <c r="D2" i="45"/>
  <c r="C2" i="45"/>
  <c r="B2" i="45"/>
  <c r="A2" i="45"/>
  <c r="S1" i="45"/>
  <c r="R1" i="45"/>
  <c r="Q1" i="45"/>
  <c r="P1" i="45"/>
  <c r="S6" i="44"/>
  <c r="R6" i="44"/>
  <c r="Q6" i="44"/>
  <c r="P6" i="44"/>
  <c r="S5" i="44"/>
  <c r="R5" i="44"/>
  <c r="Q5" i="44"/>
  <c r="P5" i="44"/>
  <c r="S4" i="44"/>
  <c r="R4" i="44"/>
  <c r="Q4" i="44"/>
  <c r="P4" i="44"/>
  <c r="S3" i="44"/>
  <c r="R3" i="44"/>
  <c r="Q3" i="44"/>
  <c r="P3" i="44"/>
  <c r="D3" i="44"/>
  <c r="C3" i="44"/>
  <c r="B3" i="44"/>
  <c r="A3" i="44"/>
  <c r="S2" i="44"/>
  <c r="R2" i="44"/>
  <c r="Q2" i="44"/>
  <c r="P2" i="44"/>
  <c r="D2" i="44"/>
  <c r="C2" i="44"/>
  <c r="B2" i="44"/>
  <c r="A2" i="44"/>
  <c r="S1" i="44"/>
  <c r="R1" i="44"/>
  <c r="Q1" i="44"/>
  <c r="P1" i="44"/>
  <c r="S9" i="43"/>
  <c r="R9" i="43"/>
  <c r="Q9" i="43"/>
  <c r="P9" i="43"/>
  <c r="S8" i="43"/>
  <c r="R8" i="43"/>
  <c r="Q8" i="43"/>
  <c r="P8" i="43"/>
  <c r="S7" i="43"/>
  <c r="R7" i="43"/>
  <c r="Q7" i="43"/>
  <c r="P7" i="43"/>
  <c r="S6" i="43"/>
  <c r="R6" i="43"/>
  <c r="Q6" i="43"/>
  <c r="P6" i="43"/>
  <c r="S5" i="43"/>
  <c r="R5" i="43"/>
  <c r="Q5" i="43"/>
  <c r="P5" i="43"/>
  <c r="D5" i="43"/>
  <c r="C5" i="43"/>
  <c r="B5" i="43"/>
  <c r="A5" i="43"/>
  <c r="S4" i="43"/>
  <c r="R4" i="43"/>
  <c r="Q4" i="43"/>
  <c r="P4" i="43"/>
  <c r="D4" i="43"/>
  <c r="C4" i="43"/>
  <c r="B4" i="43"/>
  <c r="A4" i="43"/>
  <c r="S3" i="43"/>
  <c r="R3" i="43"/>
  <c r="Q3" i="43"/>
  <c r="P3" i="43"/>
  <c r="D3" i="43"/>
  <c r="C3" i="43"/>
  <c r="B3" i="43"/>
  <c r="A3" i="43"/>
  <c r="S2" i="43"/>
  <c r="R2" i="43"/>
  <c r="Q2" i="43"/>
  <c r="P2" i="43"/>
  <c r="D2" i="43"/>
  <c r="C2" i="43"/>
  <c r="B2" i="43"/>
  <c r="A2" i="43"/>
  <c r="S1" i="43"/>
  <c r="R1" i="43"/>
  <c r="Q1" i="43"/>
  <c r="P1" i="43"/>
  <c r="S11" i="42"/>
  <c r="R11" i="42"/>
  <c r="Q11" i="42"/>
  <c r="P11" i="42"/>
  <c r="S10" i="42"/>
  <c r="R10" i="42"/>
  <c r="Q10" i="42"/>
  <c r="P10" i="42"/>
  <c r="S9" i="42"/>
  <c r="R9" i="42"/>
  <c r="Q9" i="42"/>
  <c r="P9" i="42"/>
  <c r="S8" i="42"/>
  <c r="R8" i="42"/>
  <c r="Q8" i="42"/>
  <c r="P8" i="42"/>
  <c r="S7" i="42"/>
  <c r="R7" i="42"/>
  <c r="Q7" i="42"/>
  <c r="P7" i="42"/>
  <c r="D7" i="42"/>
  <c r="C7" i="42"/>
  <c r="B7" i="42"/>
  <c r="A7" i="42"/>
  <c r="S6" i="42"/>
  <c r="R6" i="42"/>
  <c r="Q6" i="42"/>
  <c r="P6" i="42"/>
  <c r="D6" i="42"/>
  <c r="C6" i="42"/>
  <c r="B6" i="42"/>
  <c r="A6" i="42"/>
  <c r="S5" i="42"/>
  <c r="R5" i="42"/>
  <c r="Q5" i="42"/>
  <c r="P5" i="42"/>
  <c r="D5" i="42"/>
  <c r="C5" i="42"/>
  <c r="B5" i="42"/>
  <c r="A5" i="42"/>
  <c r="S4" i="42"/>
  <c r="R4" i="42"/>
  <c r="Q4" i="42"/>
  <c r="P4" i="42"/>
  <c r="D4" i="42"/>
  <c r="C4" i="42"/>
  <c r="B4" i="42"/>
  <c r="A4" i="42"/>
  <c r="S3" i="42"/>
  <c r="R3" i="42"/>
  <c r="Q3" i="42"/>
  <c r="P3" i="42"/>
  <c r="D3" i="42"/>
  <c r="C3" i="42"/>
  <c r="B3" i="42"/>
  <c r="A3" i="42"/>
  <c r="S2" i="42"/>
  <c r="R2" i="42"/>
  <c r="Q2" i="42"/>
  <c r="P2" i="42"/>
  <c r="D2" i="42"/>
  <c r="C2" i="42"/>
  <c r="B2" i="42"/>
  <c r="A2" i="42"/>
  <c r="S1" i="42"/>
  <c r="R1" i="42"/>
  <c r="Q1" i="42"/>
  <c r="P1" i="42"/>
  <c r="S9" i="41"/>
  <c r="R9" i="41"/>
  <c r="Q9" i="41"/>
  <c r="P9" i="41"/>
  <c r="S8" i="41"/>
  <c r="R8" i="41"/>
  <c r="Q8" i="41"/>
  <c r="P8" i="41"/>
  <c r="S7" i="41"/>
  <c r="R7" i="41"/>
  <c r="Q7" i="41"/>
  <c r="P7" i="41"/>
  <c r="S6" i="41"/>
  <c r="R6" i="41"/>
  <c r="Q6" i="41"/>
  <c r="P6" i="41"/>
  <c r="S5" i="41"/>
  <c r="R5" i="41"/>
  <c r="Q5" i="41"/>
  <c r="P5" i="41"/>
  <c r="D5" i="41"/>
  <c r="C5" i="41"/>
  <c r="B5" i="41"/>
  <c r="A5" i="41"/>
  <c r="S4" i="41"/>
  <c r="R4" i="41"/>
  <c r="Q4" i="41"/>
  <c r="P4" i="41"/>
  <c r="D4" i="41"/>
  <c r="C4" i="41"/>
  <c r="B4" i="41"/>
  <c r="A4" i="41"/>
  <c r="S3" i="41"/>
  <c r="R3" i="41"/>
  <c r="Q3" i="41"/>
  <c r="P3" i="41"/>
  <c r="D3" i="41"/>
  <c r="C3" i="41"/>
  <c r="B3" i="41"/>
  <c r="A3" i="41"/>
  <c r="S2" i="41"/>
  <c r="R2" i="41"/>
  <c r="Q2" i="41"/>
  <c r="P2" i="41"/>
  <c r="D2" i="41"/>
  <c r="C2" i="41"/>
  <c r="B2" i="41"/>
  <c r="A2" i="41"/>
  <c r="S1" i="41"/>
  <c r="R1" i="41"/>
  <c r="Q1" i="41"/>
  <c r="P1" i="41"/>
  <c r="S10" i="40"/>
  <c r="R10" i="40"/>
  <c r="Q10" i="40"/>
  <c r="P10" i="40"/>
  <c r="S9" i="40"/>
  <c r="R9" i="40"/>
  <c r="Q9" i="40"/>
  <c r="P9" i="40"/>
  <c r="S8" i="40"/>
  <c r="R8" i="40"/>
  <c r="Q8" i="40"/>
  <c r="P8" i="40"/>
  <c r="S7" i="40"/>
  <c r="R7" i="40"/>
  <c r="Q7" i="40"/>
  <c r="P7" i="40"/>
  <c r="S6" i="40"/>
  <c r="R6" i="40"/>
  <c r="Q6" i="40"/>
  <c r="P6" i="40"/>
  <c r="D6" i="40"/>
  <c r="C6" i="40"/>
  <c r="B6" i="40"/>
  <c r="A6" i="40"/>
  <c r="S5" i="40"/>
  <c r="R5" i="40"/>
  <c r="Q5" i="40"/>
  <c r="P5" i="40"/>
  <c r="D5" i="40"/>
  <c r="C5" i="40"/>
  <c r="B5" i="40"/>
  <c r="A5" i="40"/>
  <c r="S4" i="40"/>
  <c r="R4" i="40"/>
  <c r="Q4" i="40"/>
  <c r="P4" i="40"/>
  <c r="D4" i="40"/>
  <c r="C4" i="40"/>
  <c r="B4" i="40"/>
  <c r="A4" i="40"/>
  <c r="S3" i="40"/>
  <c r="R3" i="40"/>
  <c r="Q3" i="40"/>
  <c r="P3" i="40"/>
  <c r="D3" i="40"/>
  <c r="C3" i="40"/>
  <c r="B3" i="40"/>
  <c r="A3" i="40"/>
  <c r="S2" i="40"/>
  <c r="R2" i="40"/>
  <c r="Q2" i="40"/>
  <c r="P2" i="40"/>
  <c r="D2" i="40"/>
  <c r="C2" i="40"/>
  <c r="B2" i="40"/>
  <c r="A2" i="40"/>
  <c r="S1" i="40"/>
  <c r="R1" i="40"/>
  <c r="Q1" i="40"/>
  <c r="P1" i="40"/>
  <c r="S6" i="39"/>
  <c r="R6" i="39"/>
  <c r="Q6" i="39"/>
  <c r="P6" i="39"/>
  <c r="S5" i="39"/>
  <c r="R5" i="39"/>
  <c r="Q5" i="39"/>
  <c r="P5" i="39"/>
  <c r="S4" i="39"/>
  <c r="R4" i="39"/>
  <c r="Q4" i="39"/>
  <c r="P4" i="39"/>
  <c r="S3" i="39"/>
  <c r="R3" i="39"/>
  <c r="Q3" i="39"/>
  <c r="P3" i="39"/>
  <c r="D3" i="39"/>
  <c r="C3" i="39"/>
  <c r="B3" i="39"/>
  <c r="A3" i="39"/>
  <c r="S2" i="39"/>
  <c r="R2" i="39"/>
  <c r="Q2" i="39"/>
  <c r="P2" i="39"/>
  <c r="D2" i="39"/>
  <c r="C2" i="39"/>
  <c r="B2" i="39"/>
  <c r="A2" i="39"/>
  <c r="S1" i="39"/>
  <c r="R1" i="39"/>
  <c r="Q1" i="39"/>
  <c r="P1" i="39"/>
  <c r="S9" i="38"/>
  <c r="R9" i="38"/>
  <c r="Q9" i="38"/>
  <c r="P9" i="38"/>
  <c r="S8" i="38"/>
  <c r="R8" i="38"/>
  <c r="Q8" i="38"/>
  <c r="P8" i="38"/>
  <c r="S7" i="38"/>
  <c r="R7" i="38"/>
  <c r="Q7" i="38"/>
  <c r="P7" i="38"/>
  <c r="S6" i="38"/>
  <c r="R6" i="38"/>
  <c r="Q6" i="38"/>
  <c r="P6" i="38"/>
  <c r="S5" i="38"/>
  <c r="R5" i="38"/>
  <c r="Q5" i="38"/>
  <c r="P5" i="38"/>
  <c r="D5" i="38"/>
  <c r="C5" i="38"/>
  <c r="B5" i="38"/>
  <c r="A5" i="38"/>
  <c r="S4" i="38"/>
  <c r="R4" i="38"/>
  <c r="Q4" i="38"/>
  <c r="P4" i="38"/>
  <c r="D4" i="38"/>
  <c r="C4" i="38"/>
  <c r="B4" i="38"/>
  <c r="A4" i="38"/>
  <c r="S3" i="38"/>
  <c r="R3" i="38"/>
  <c r="Q3" i="38"/>
  <c r="P3" i="38"/>
  <c r="D3" i="38"/>
  <c r="C3" i="38"/>
  <c r="B3" i="38"/>
  <c r="A3" i="38"/>
  <c r="S2" i="38"/>
  <c r="R2" i="38"/>
  <c r="Q2" i="38"/>
  <c r="P2" i="38"/>
  <c r="D2" i="38"/>
  <c r="C2" i="38"/>
  <c r="B2" i="38"/>
  <c r="A2" i="38"/>
  <c r="S1" i="38"/>
  <c r="R1" i="38"/>
  <c r="Q1" i="38"/>
  <c r="P1" i="38"/>
  <c r="S8" i="37"/>
  <c r="R8" i="37"/>
  <c r="Q8" i="37"/>
  <c r="P8" i="37"/>
  <c r="S7" i="37"/>
  <c r="R7" i="37"/>
  <c r="Q7" i="37"/>
  <c r="P7" i="37"/>
  <c r="S6" i="37"/>
  <c r="R6" i="37"/>
  <c r="Q6" i="37"/>
  <c r="P6" i="37"/>
  <c r="S5" i="37"/>
  <c r="R5" i="37"/>
  <c r="Q5" i="37"/>
  <c r="P5" i="37"/>
  <c r="S4" i="37"/>
  <c r="R4" i="37"/>
  <c r="Q4" i="37"/>
  <c r="P4" i="37"/>
  <c r="D4" i="37"/>
  <c r="C4" i="37"/>
  <c r="B4" i="37"/>
  <c r="A4" i="37"/>
  <c r="S3" i="37"/>
  <c r="R3" i="37"/>
  <c r="Q3" i="37"/>
  <c r="P3" i="37"/>
  <c r="D3" i="37"/>
  <c r="C3" i="37"/>
  <c r="B3" i="37"/>
  <c r="A3" i="37"/>
  <c r="S2" i="37"/>
  <c r="R2" i="37"/>
  <c r="Q2" i="37"/>
  <c r="P2" i="37"/>
  <c r="D2" i="37"/>
  <c r="C2" i="37"/>
  <c r="B2" i="37"/>
  <c r="A2" i="37"/>
  <c r="S1" i="37"/>
  <c r="R1" i="37"/>
  <c r="Q1" i="37"/>
  <c r="P1" i="37"/>
  <c r="S8" i="36"/>
  <c r="R8" i="36"/>
  <c r="Q8" i="36"/>
  <c r="P8" i="36"/>
  <c r="S7" i="36"/>
  <c r="R7" i="36"/>
  <c r="Q7" i="36"/>
  <c r="P7" i="36"/>
  <c r="S6" i="36"/>
  <c r="R6" i="36"/>
  <c r="Q6" i="36"/>
  <c r="P6" i="36"/>
  <c r="S5" i="36"/>
  <c r="R5" i="36"/>
  <c r="Q5" i="36"/>
  <c r="P5" i="36"/>
  <c r="S4" i="36"/>
  <c r="R4" i="36"/>
  <c r="Q4" i="36"/>
  <c r="P4" i="36"/>
  <c r="D4" i="36"/>
  <c r="C4" i="36"/>
  <c r="B4" i="36"/>
  <c r="A4" i="36"/>
  <c r="S3" i="36"/>
  <c r="R3" i="36"/>
  <c r="Q3" i="36"/>
  <c r="P3" i="36"/>
  <c r="D3" i="36"/>
  <c r="C3" i="36"/>
  <c r="B3" i="36"/>
  <c r="A3" i="36"/>
  <c r="S2" i="36"/>
  <c r="R2" i="36"/>
  <c r="Q2" i="36"/>
  <c r="P2" i="36"/>
  <c r="D2" i="36"/>
  <c r="C2" i="36"/>
  <c r="B2" i="36"/>
  <c r="A2" i="36"/>
  <c r="S1" i="36"/>
  <c r="R1" i="36"/>
  <c r="Q1" i="36"/>
  <c r="P1" i="36"/>
  <c r="S9" i="35"/>
  <c r="R9" i="35"/>
  <c r="Q9" i="35"/>
  <c r="P9" i="35"/>
  <c r="S8" i="35"/>
  <c r="R8" i="35"/>
  <c r="Q8" i="35"/>
  <c r="P8" i="35"/>
  <c r="S7" i="35"/>
  <c r="R7" i="35"/>
  <c r="Q7" i="35"/>
  <c r="P7" i="35"/>
  <c r="S6" i="35"/>
  <c r="R6" i="35"/>
  <c r="Q6" i="35"/>
  <c r="P6" i="35"/>
  <c r="S5" i="35"/>
  <c r="R5" i="35"/>
  <c r="Q5" i="35"/>
  <c r="P5" i="35"/>
  <c r="D5" i="35"/>
  <c r="C5" i="35"/>
  <c r="B5" i="35"/>
  <c r="A5" i="35"/>
  <c r="S4" i="35"/>
  <c r="R4" i="35"/>
  <c r="Q4" i="35"/>
  <c r="P4" i="35"/>
  <c r="D4" i="35"/>
  <c r="C4" i="35"/>
  <c r="B4" i="35"/>
  <c r="A4" i="35"/>
  <c r="S3" i="35"/>
  <c r="R3" i="35"/>
  <c r="Q3" i="35"/>
  <c r="P3" i="35"/>
  <c r="D3" i="35"/>
  <c r="C3" i="35"/>
  <c r="B3" i="35"/>
  <c r="A3" i="35"/>
  <c r="S2" i="35"/>
  <c r="R2" i="35"/>
  <c r="Q2" i="35"/>
  <c r="P2" i="35"/>
  <c r="D2" i="35"/>
  <c r="C2" i="35"/>
  <c r="B2" i="35"/>
  <c r="A2" i="35"/>
  <c r="S1" i="35"/>
  <c r="R1" i="35"/>
  <c r="Q1" i="35"/>
  <c r="P1" i="35"/>
  <c r="S18" i="34"/>
  <c r="R18" i="34"/>
  <c r="Q18" i="34"/>
  <c r="P18" i="34"/>
  <c r="S17" i="34"/>
  <c r="R17" i="34"/>
  <c r="Q17" i="34"/>
  <c r="P17" i="34"/>
  <c r="S16" i="34"/>
  <c r="R16" i="34"/>
  <c r="Q16" i="34"/>
  <c r="P16" i="34"/>
  <c r="S15" i="34"/>
  <c r="R15" i="34"/>
  <c r="Q15" i="34"/>
  <c r="P15" i="34"/>
  <c r="S14" i="34"/>
  <c r="R14" i="34"/>
  <c r="Q14" i="34"/>
  <c r="P14" i="34"/>
  <c r="D14" i="34"/>
  <c r="C14" i="34"/>
  <c r="B14" i="34"/>
  <c r="A14" i="34"/>
  <c r="S13" i="34"/>
  <c r="R13" i="34"/>
  <c r="Q13" i="34"/>
  <c r="P13" i="34"/>
  <c r="D13" i="34"/>
  <c r="C13" i="34"/>
  <c r="B13" i="34"/>
  <c r="A13" i="34"/>
  <c r="S12" i="34"/>
  <c r="R12" i="34"/>
  <c r="Q12" i="34"/>
  <c r="P12" i="34"/>
  <c r="D12" i="34"/>
  <c r="C12" i="34"/>
  <c r="B12" i="34"/>
  <c r="A12" i="34"/>
  <c r="S11" i="34"/>
  <c r="R11" i="34"/>
  <c r="Q11" i="34"/>
  <c r="P11" i="34"/>
  <c r="D11" i="34"/>
  <c r="C11" i="34"/>
  <c r="B11" i="34"/>
  <c r="A11" i="34"/>
  <c r="S10" i="34"/>
  <c r="R10" i="34"/>
  <c r="Q10" i="34"/>
  <c r="P10" i="34"/>
  <c r="D10" i="34"/>
  <c r="C10" i="34"/>
  <c r="B10" i="34"/>
  <c r="A10" i="34"/>
  <c r="S9" i="34"/>
  <c r="R9" i="34"/>
  <c r="Q9" i="34"/>
  <c r="P9" i="34"/>
  <c r="D9" i="34"/>
  <c r="C9" i="34"/>
  <c r="B9" i="34"/>
  <c r="A9" i="34"/>
  <c r="S8" i="34"/>
  <c r="R8" i="34"/>
  <c r="Q8" i="34"/>
  <c r="P8" i="34"/>
  <c r="D8" i="34"/>
  <c r="C8" i="34"/>
  <c r="B8" i="34"/>
  <c r="A8" i="34"/>
  <c r="S7" i="34"/>
  <c r="R7" i="34"/>
  <c r="Q7" i="34"/>
  <c r="P7" i="34"/>
  <c r="D7" i="34"/>
  <c r="C7" i="34"/>
  <c r="B7" i="34"/>
  <c r="A7" i="34"/>
  <c r="S6" i="34"/>
  <c r="R6" i="34"/>
  <c r="Q6" i="34"/>
  <c r="P6" i="34"/>
  <c r="D6" i="34"/>
  <c r="C6" i="34"/>
  <c r="B6" i="34"/>
  <c r="A6" i="34"/>
  <c r="S5" i="34"/>
  <c r="R5" i="34"/>
  <c r="Q5" i="34"/>
  <c r="P5" i="34"/>
  <c r="D5" i="34"/>
  <c r="C5" i="34"/>
  <c r="B5" i="34"/>
  <c r="A5" i="34"/>
  <c r="S4" i="34"/>
  <c r="R4" i="34"/>
  <c r="Q4" i="34"/>
  <c r="P4" i="34"/>
  <c r="D4" i="34"/>
  <c r="C4" i="34"/>
  <c r="B4" i="34"/>
  <c r="A4" i="34"/>
  <c r="S3" i="34"/>
  <c r="R3" i="34"/>
  <c r="Q3" i="34"/>
  <c r="P3" i="34"/>
  <c r="D3" i="34"/>
  <c r="C3" i="34"/>
  <c r="B3" i="34"/>
  <c r="A3" i="34"/>
  <c r="S2" i="34"/>
  <c r="R2" i="34"/>
  <c r="Q2" i="34"/>
  <c r="P2" i="34"/>
  <c r="D2" i="34"/>
  <c r="C2" i="34"/>
  <c r="B2" i="34"/>
  <c r="A2" i="34"/>
  <c r="S1" i="34"/>
  <c r="R1" i="34"/>
  <c r="Q1" i="34"/>
  <c r="P1" i="34"/>
  <c r="S13" i="33"/>
  <c r="R13" i="33"/>
  <c r="Q13" i="33"/>
  <c r="P13" i="33"/>
  <c r="S12" i="33"/>
  <c r="R12" i="33"/>
  <c r="Q12" i="33"/>
  <c r="P12" i="33"/>
  <c r="S11" i="33"/>
  <c r="R11" i="33"/>
  <c r="Q11" i="33"/>
  <c r="P11" i="33"/>
  <c r="S10" i="33"/>
  <c r="R10" i="33"/>
  <c r="Q10" i="33"/>
  <c r="P10" i="33"/>
  <c r="S9" i="33"/>
  <c r="R9" i="33"/>
  <c r="Q9" i="33"/>
  <c r="P9" i="33"/>
  <c r="D9" i="33"/>
  <c r="C9" i="33"/>
  <c r="B9" i="33"/>
  <c r="A9" i="33"/>
  <c r="S8" i="33"/>
  <c r="R8" i="33"/>
  <c r="Q8" i="33"/>
  <c r="P8" i="33"/>
  <c r="D8" i="33"/>
  <c r="C8" i="33"/>
  <c r="B8" i="33"/>
  <c r="A8" i="33"/>
  <c r="S7" i="33"/>
  <c r="R7" i="33"/>
  <c r="Q7" i="33"/>
  <c r="P7" i="33"/>
  <c r="D7" i="33"/>
  <c r="C7" i="33"/>
  <c r="B7" i="33"/>
  <c r="A7" i="33"/>
  <c r="S6" i="33"/>
  <c r="R6" i="33"/>
  <c r="Q6" i="33"/>
  <c r="P6" i="33"/>
  <c r="D6" i="33"/>
  <c r="C6" i="33"/>
  <c r="B6" i="33"/>
  <c r="A6" i="33"/>
  <c r="S5" i="33"/>
  <c r="R5" i="33"/>
  <c r="Q5" i="33"/>
  <c r="P5" i="33"/>
  <c r="D5" i="33"/>
  <c r="C5" i="33"/>
  <c r="B5" i="33"/>
  <c r="A5" i="33"/>
  <c r="S4" i="33"/>
  <c r="R4" i="33"/>
  <c r="Q4" i="33"/>
  <c r="P4" i="33"/>
  <c r="D4" i="33"/>
  <c r="C4" i="33"/>
  <c r="B4" i="33"/>
  <c r="A4" i="33"/>
  <c r="S3" i="33"/>
  <c r="R3" i="33"/>
  <c r="Q3" i="33"/>
  <c r="P3" i="33"/>
  <c r="D3" i="33"/>
  <c r="C3" i="33"/>
  <c r="B3" i="33"/>
  <c r="A3" i="33"/>
  <c r="S2" i="33"/>
  <c r="R2" i="33"/>
  <c r="Q2" i="33"/>
  <c r="P2" i="33"/>
  <c r="D2" i="33"/>
  <c r="C2" i="33"/>
  <c r="B2" i="33"/>
  <c r="A2" i="33"/>
  <c r="S1" i="33"/>
  <c r="R1" i="33"/>
  <c r="Q1" i="33"/>
  <c r="P1" i="33"/>
  <c r="S6" i="32"/>
  <c r="R6" i="32"/>
  <c r="Q6" i="32"/>
  <c r="P6" i="32"/>
  <c r="S5" i="32"/>
  <c r="R5" i="32"/>
  <c r="Q5" i="32"/>
  <c r="P5" i="32"/>
  <c r="S4" i="32"/>
  <c r="R4" i="32"/>
  <c r="Q4" i="32"/>
  <c r="P4" i="32"/>
  <c r="S3" i="32"/>
  <c r="R3" i="32"/>
  <c r="Q3" i="32"/>
  <c r="P3" i="32"/>
  <c r="S2" i="32"/>
  <c r="R2" i="32"/>
  <c r="Q2" i="32"/>
  <c r="P2" i="32"/>
  <c r="D2" i="32"/>
  <c r="C2" i="32"/>
  <c r="B2" i="32"/>
  <c r="A2" i="32"/>
  <c r="S1" i="32"/>
  <c r="R1" i="32"/>
  <c r="Q1" i="32"/>
  <c r="P1" i="32"/>
  <c r="S5" i="31"/>
  <c r="R5" i="31"/>
  <c r="Q5" i="31"/>
  <c r="P5" i="31"/>
  <c r="S4" i="31"/>
  <c r="R4" i="31"/>
  <c r="Q4" i="31"/>
  <c r="P4" i="31"/>
  <c r="S3" i="31"/>
  <c r="R3" i="31"/>
  <c r="Q3" i="31"/>
  <c r="P3" i="31"/>
  <c r="S2" i="31"/>
  <c r="R2" i="31"/>
  <c r="Q2" i="31"/>
  <c r="P2" i="31"/>
  <c r="A2" i="31"/>
  <c r="S1" i="31"/>
  <c r="R1" i="31"/>
  <c r="Q1" i="31"/>
  <c r="P1" i="31"/>
  <c r="S8" i="30"/>
  <c r="R8" i="30"/>
  <c r="Q8" i="30"/>
  <c r="P8" i="30"/>
  <c r="S7" i="30"/>
  <c r="R7" i="30"/>
  <c r="Q7" i="30"/>
  <c r="P7" i="30"/>
  <c r="S6" i="30"/>
  <c r="R6" i="30"/>
  <c r="Q6" i="30"/>
  <c r="P6" i="30"/>
  <c r="S5" i="30"/>
  <c r="R5" i="30"/>
  <c r="Q5" i="30"/>
  <c r="P5" i="30"/>
  <c r="D5" i="30"/>
  <c r="C5" i="30"/>
  <c r="B5" i="30"/>
  <c r="A5" i="30"/>
  <c r="S4" i="30"/>
  <c r="R4" i="30"/>
  <c r="Q4" i="30"/>
  <c r="P4" i="30"/>
  <c r="D4" i="30"/>
  <c r="C4" i="30"/>
  <c r="B4" i="30"/>
  <c r="A4" i="30"/>
  <c r="S3" i="30"/>
  <c r="R3" i="30"/>
  <c r="Q3" i="30"/>
  <c r="P3" i="30"/>
  <c r="D3" i="30"/>
  <c r="C3" i="30"/>
  <c r="B3" i="30"/>
  <c r="A3" i="30"/>
  <c r="S2" i="30"/>
  <c r="R2" i="30"/>
  <c r="Q2" i="30"/>
  <c r="P2" i="30"/>
  <c r="S1" i="30"/>
  <c r="R1" i="30"/>
  <c r="Q1" i="30"/>
  <c r="P1" i="30"/>
  <c r="S9" i="29"/>
  <c r="R9" i="29"/>
  <c r="Q9" i="29"/>
  <c r="P9" i="29"/>
  <c r="S8" i="29"/>
  <c r="R8" i="29"/>
  <c r="Q8" i="29"/>
  <c r="P8" i="29"/>
  <c r="S7" i="29"/>
  <c r="R7" i="29"/>
  <c r="Q7" i="29"/>
  <c r="P7" i="29"/>
  <c r="S6" i="29"/>
  <c r="R6" i="29"/>
  <c r="Q6" i="29"/>
  <c r="P6" i="29"/>
  <c r="S5" i="29"/>
  <c r="R5" i="29"/>
  <c r="Q5" i="29"/>
  <c r="P5" i="29"/>
  <c r="D5" i="29"/>
  <c r="C5" i="29"/>
  <c r="B5" i="29"/>
  <c r="A5" i="29"/>
  <c r="S4" i="29"/>
  <c r="R4" i="29"/>
  <c r="Q4" i="29"/>
  <c r="P4" i="29"/>
  <c r="D4" i="29"/>
  <c r="C4" i="29"/>
  <c r="B4" i="29"/>
  <c r="A4" i="29"/>
  <c r="S3" i="29"/>
  <c r="R3" i="29"/>
  <c r="Q3" i="29"/>
  <c r="P3" i="29"/>
  <c r="D3" i="29"/>
  <c r="C3" i="29"/>
  <c r="B3" i="29"/>
  <c r="A3" i="29"/>
  <c r="S2" i="29"/>
  <c r="R2" i="29"/>
  <c r="Q2" i="29"/>
  <c r="P2" i="29"/>
  <c r="D2" i="29"/>
  <c r="C2" i="29"/>
  <c r="B2" i="29"/>
  <c r="A2" i="29"/>
  <c r="S1" i="29"/>
  <c r="R1" i="29"/>
  <c r="Q1" i="29"/>
  <c r="P1" i="29"/>
  <c r="S14" i="28"/>
  <c r="R14" i="28"/>
  <c r="Q14" i="28"/>
  <c r="P14" i="28"/>
  <c r="S13" i="28"/>
  <c r="R13" i="28"/>
  <c r="Q13" i="28"/>
  <c r="P13" i="28"/>
  <c r="S12" i="28"/>
  <c r="R12" i="28"/>
  <c r="Q12" i="28"/>
  <c r="P12" i="28"/>
  <c r="S11" i="28"/>
  <c r="R11" i="28"/>
  <c r="Q11" i="28"/>
  <c r="P11" i="28"/>
  <c r="S10" i="28"/>
  <c r="R10" i="28"/>
  <c r="Q10" i="28"/>
  <c r="P10" i="28"/>
  <c r="D10" i="28"/>
  <c r="C10" i="28"/>
  <c r="B10" i="28"/>
  <c r="A10" i="28"/>
  <c r="S9" i="28"/>
  <c r="R9" i="28"/>
  <c r="Q9" i="28"/>
  <c r="P9" i="28"/>
  <c r="D9" i="28"/>
  <c r="C9" i="28"/>
  <c r="B9" i="28"/>
  <c r="A9" i="28"/>
  <c r="S8" i="28"/>
  <c r="R8" i="28"/>
  <c r="Q8" i="28"/>
  <c r="P8" i="28"/>
  <c r="D8" i="28"/>
  <c r="C8" i="28"/>
  <c r="B8" i="28"/>
  <c r="A8" i="28"/>
  <c r="S7" i="28"/>
  <c r="R7" i="28"/>
  <c r="Q7" i="28"/>
  <c r="P7" i="28"/>
  <c r="D7" i="28"/>
  <c r="C7" i="28"/>
  <c r="B7" i="28"/>
  <c r="A7" i="28"/>
  <c r="S6" i="28"/>
  <c r="R6" i="28"/>
  <c r="Q6" i="28"/>
  <c r="P6" i="28"/>
  <c r="D6" i="28"/>
  <c r="C6" i="28"/>
  <c r="B6" i="28"/>
  <c r="A6" i="28"/>
  <c r="S5" i="28"/>
  <c r="R5" i="28"/>
  <c r="Q5" i="28"/>
  <c r="P5" i="28"/>
  <c r="D5" i="28"/>
  <c r="C5" i="28"/>
  <c r="B5" i="28"/>
  <c r="A5" i="28"/>
  <c r="S4" i="28"/>
  <c r="R4" i="28"/>
  <c r="Q4" i="28"/>
  <c r="P4" i="28"/>
  <c r="D4" i="28"/>
  <c r="C4" i="28"/>
  <c r="B4" i="28"/>
  <c r="A4" i="28"/>
  <c r="S3" i="28"/>
  <c r="R3" i="28"/>
  <c r="Q3" i="28"/>
  <c r="P3" i="28"/>
  <c r="D3" i="28"/>
  <c r="C3" i="28"/>
  <c r="B3" i="28"/>
  <c r="A3" i="28"/>
  <c r="S2" i="28"/>
  <c r="R2" i="28"/>
  <c r="Q2" i="28"/>
  <c r="P2" i="28"/>
  <c r="D2" i="28"/>
  <c r="C2" i="28"/>
  <c r="B2" i="28"/>
  <c r="A2" i="28"/>
  <c r="S1" i="28"/>
  <c r="R1" i="28"/>
  <c r="Q1" i="28"/>
  <c r="P1" i="28"/>
  <c r="S9" i="27"/>
  <c r="R9" i="27"/>
  <c r="Q9" i="27"/>
  <c r="P9" i="27"/>
  <c r="S8" i="27"/>
  <c r="R8" i="27"/>
  <c r="Q8" i="27"/>
  <c r="P8" i="27"/>
  <c r="S7" i="27"/>
  <c r="R7" i="27"/>
  <c r="Q7" i="27"/>
  <c r="P7" i="27"/>
  <c r="S6" i="27"/>
  <c r="R6" i="27"/>
  <c r="Q6" i="27"/>
  <c r="P6" i="27"/>
  <c r="S5" i="27"/>
  <c r="R5" i="27"/>
  <c r="Q5" i="27"/>
  <c r="P5" i="27"/>
  <c r="C5" i="27"/>
  <c r="B5" i="27"/>
  <c r="A5" i="27"/>
  <c r="S4" i="27"/>
  <c r="R4" i="27"/>
  <c r="Q4" i="27"/>
  <c r="P4" i="27"/>
  <c r="D4" i="27"/>
  <c r="C4" i="27"/>
  <c r="B4" i="27"/>
  <c r="A4" i="27"/>
  <c r="S3" i="27"/>
  <c r="R3" i="27"/>
  <c r="Q3" i="27"/>
  <c r="P3" i="27"/>
  <c r="D3" i="27"/>
  <c r="C3" i="27"/>
  <c r="B3" i="27"/>
  <c r="A3" i="27"/>
  <c r="S2" i="27"/>
  <c r="R2" i="27"/>
  <c r="Q2" i="27"/>
  <c r="P2" i="27"/>
  <c r="D2" i="27"/>
  <c r="C2" i="27"/>
  <c r="B2" i="27"/>
  <c r="A2" i="27"/>
  <c r="S1" i="27"/>
  <c r="R1" i="27"/>
  <c r="Q1" i="27"/>
  <c r="P1" i="27"/>
  <c r="S8" i="26"/>
  <c r="R8" i="26"/>
  <c r="Q8" i="26"/>
  <c r="P8" i="26"/>
  <c r="S7" i="26"/>
  <c r="R7" i="26"/>
  <c r="Q7" i="26"/>
  <c r="P7" i="26"/>
  <c r="S6" i="26"/>
  <c r="R6" i="26"/>
  <c r="Q6" i="26"/>
  <c r="P6" i="26"/>
  <c r="S5" i="26"/>
  <c r="R5" i="26"/>
  <c r="Q5" i="26"/>
  <c r="P5" i="26"/>
  <c r="S4" i="26"/>
  <c r="R4" i="26"/>
  <c r="Q4" i="26"/>
  <c r="P4" i="26"/>
  <c r="C4" i="26"/>
  <c r="B4" i="26"/>
  <c r="A4" i="26"/>
  <c r="S3" i="26"/>
  <c r="R3" i="26"/>
  <c r="Q3" i="26"/>
  <c r="P3" i="26"/>
  <c r="C3" i="26"/>
  <c r="B3" i="26"/>
  <c r="A3" i="26"/>
  <c r="S2" i="26"/>
  <c r="R2" i="26"/>
  <c r="Q2" i="26"/>
  <c r="P2" i="26"/>
  <c r="D2" i="26"/>
  <c r="C2" i="26"/>
  <c r="B2" i="26"/>
  <c r="A2" i="26"/>
  <c r="S1" i="26"/>
  <c r="R1" i="26"/>
  <c r="Q1" i="26"/>
  <c r="P1" i="26"/>
  <c r="S9" i="25"/>
  <c r="R9" i="25"/>
  <c r="Q9" i="25"/>
  <c r="P9" i="25"/>
  <c r="S8" i="25"/>
  <c r="R8" i="25"/>
  <c r="Q8" i="25"/>
  <c r="P8" i="25"/>
  <c r="S7" i="25"/>
  <c r="R7" i="25"/>
  <c r="Q7" i="25"/>
  <c r="P7" i="25"/>
  <c r="S6" i="25"/>
  <c r="R6" i="25"/>
  <c r="Q6" i="25"/>
  <c r="P6" i="25"/>
  <c r="S5" i="25"/>
  <c r="R5" i="25"/>
  <c r="Q5" i="25"/>
  <c r="P5" i="25"/>
  <c r="D5" i="25"/>
  <c r="C5" i="25"/>
  <c r="B5" i="25"/>
  <c r="A5" i="25"/>
  <c r="S4" i="25"/>
  <c r="R4" i="25"/>
  <c r="Q4" i="25"/>
  <c r="P4" i="25"/>
  <c r="D4" i="25"/>
  <c r="C4" i="25"/>
  <c r="B4" i="25"/>
  <c r="A4" i="25"/>
  <c r="S3" i="25"/>
  <c r="R3" i="25"/>
  <c r="Q3" i="25"/>
  <c r="P3" i="25"/>
  <c r="D3" i="25"/>
  <c r="C3" i="25"/>
  <c r="B3" i="25"/>
  <c r="A3" i="25"/>
  <c r="S2" i="25"/>
  <c r="R2" i="25"/>
  <c r="Q2" i="25"/>
  <c r="P2" i="25"/>
  <c r="D2" i="25"/>
  <c r="C2" i="25"/>
  <c r="B2" i="25"/>
  <c r="A2" i="25"/>
  <c r="S1" i="25"/>
  <c r="R1" i="25"/>
  <c r="Q1" i="25"/>
  <c r="P1" i="25"/>
  <c r="S5" i="24"/>
  <c r="R5" i="24"/>
  <c r="Q5" i="24"/>
  <c r="P5" i="24"/>
  <c r="S4" i="24"/>
  <c r="R4" i="24"/>
  <c r="Q4" i="24"/>
  <c r="P4" i="24"/>
  <c r="S3" i="24"/>
  <c r="R3" i="24"/>
  <c r="Q3" i="24"/>
  <c r="P3" i="24"/>
  <c r="S2" i="24"/>
  <c r="R2" i="24"/>
  <c r="Q2" i="24"/>
  <c r="P2" i="24"/>
  <c r="A2" i="24"/>
  <c r="S1" i="24"/>
  <c r="R1" i="24"/>
  <c r="Q1" i="24"/>
  <c r="P1" i="24"/>
  <c r="S17" i="23"/>
  <c r="R17" i="23"/>
  <c r="Q17" i="23"/>
  <c r="P17" i="23"/>
  <c r="S16" i="23"/>
  <c r="R16" i="23"/>
  <c r="Q16" i="23"/>
  <c r="P16" i="23"/>
  <c r="S15" i="23"/>
  <c r="R15" i="23"/>
  <c r="Q15" i="23"/>
  <c r="P15" i="23"/>
  <c r="S14" i="23"/>
  <c r="R14" i="23"/>
  <c r="Q14" i="23"/>
  <c r="P14" i="23"/>
  <c r="S13" i="23"/>
  <c r="R13" i="23"/>
  <c r="Q13" i="23"/>
  <c r="P13" i="23"/>
  <c r="D13" i="23"/>
  <c r="C13" i="23"/>
  <c r="B13" i="23"/>
  <c r="A13" i="23"/>
  <c r="S12" i="23"/>
  <c r="R12" i="23"/>
  <c r="Q12" i="23"/>
  <c r="P12" i="23"/>
  <c r="D12" i="23"/>
  <c r="C12" i="23"/>
  <c r="B12" i="23"/>
  <c r="A12" i="23"/>
  <c r="S11" i="23"/>
  <c r="R11" i="23"/>
  <c r="Q11" i="23"/>
  <c r="P11" i="23"/>
  <c r="D11" i="23"/>
  <c r="C11" i="23"/>
  <c r="B11" i="23"/>
  <c r="A11" i="23"/>
  <c r="S10" i="23"/>
  <c r="R10" i="23"/>
  <c r="Q10" i="23"/>
  <c r="P10" i="23"/>
  <c r="D10" i="23"/>
  <c r="C10" i="23"/>
  <c r="B10" i="23"/>
  <c r="A10" i="23"/>
  <c r="S9" i="23"/>
  <c r="R9" i="23"/>
  <c r="Q9" i="23"/>
  <c r="P9" i="23"/>
  <c r="C9" i="23"/>
  <c r="A9" i="23"/>
  <c r="S8" i="23"/>
  <c r="R8" i="23"/>
  <c r="Q8" i="23"/>
  <c r="P8" i="23"/>
  <c r="D8" i="23"/>
  <c r="C8" i="23"/>
  <c r="B8" i="23"/>
  <c r="A8" i="23"/>
  <c r="S7" i="23"/>
  <c r="R7" i="23"/>
  <c r="Q7" i="23"/>
  <c r="P7" i="23"/>
  <c r="D7" i="23"/>
  <c r="C7" i="23"/>
  <c r="B7" i="23"/>
  <c r="A7" i="23"/>
  <c r="S6" i="23"/>
  <c r="R6" i="23"/>
  <c r="Q6" i="23"/>
  <c r="P6" i="23"/>
  <c r="D6" i="23"/>
  <c r="C6" i="23"/>
  <c r="B6" i="23"/>
  <c r="A6" i="23"/>
  <c r="S5" i="23"/>
  <c r="R5" i="23"/>
  <c r="Q5" i="23"/>
  <c r="P5" i="23"/>
  <c r="D5" i="23"/>
  <c r="C5" i="23"/>
  <c r="B5" i="23"/>
  <c r="A5" i="23"/>
  <c r="S4" i="23"/>
  <c r="R4" i="23"/>
  <c r="Q4" i="23"/>
  <c r="P4" i="23"/>
  <c r="D4" i="23"/>
  <c r="C4" i="23"/>
  <c r="B4" i="23"/>
  <c r="A4" i="23"/>
  <c r="S3" i="23"/>
  <c r="R3" i="23"/>
  <c r="Q3" i="23"/>
  <c r="P3" i="23"/>
  <c r="D3" i="23"/>
  <c r="C3" i="23"/>
  <c r="B3" i="23"/>
  <c r="A3" i="23"/>
  <c r="S2" i="23"/>
  <c r="R2" i="23"/>
  <c r="Q2" i="23"/>
  <c r="P2" i="23"/>
  <c r="D2" i="23"/>
  <c r="C2" i="23"/>
  <c r="B2" i="23"/>
  <c r="A2" i="23"/>
  <c r="S1" i="23"/>
  <c r="R1" i="23"/>
  <c r="Q1" i="23"/>
  <c r="P1" i="23"/>
  <c r="S7" i="22"/>
  <c r="R7" i="22"/>
  <c r="Q7" i="22"/>
  <c r="P7" i="22"/>
  <c r="S6" i="22"/>
  <c r="R6" i="22"/>
  <c r="Q6" i="22"/>
  <c r="P6" i="22"/>
  <c r="S5" i="22"/>
  <c r="R5" i="22"/>
  <c r="Q5" i="22"/>
  <c r="P5" i="22"/>
  <c r="S4" i="22"/>
  <c r="R4" i="22"/>
  <c r="Q4" i="22"/>
  <c r="P4" i="22"/>
  <c r="S3" i="22"/>
  <c r="R3" i="22"/>
  <c r="Q3" i="22"/>
  <c r="P3" i="22"/>
  <c r="C3" i="22"/>
  <c r="B3" i="22"/>
  <c r="A3" i="22"/>
  <c r="S2" i="22"/>
  <c r="R2" i="22"/>
  <c r="Q2" i="22"/>
  <c r="P2" i="22"/>
  <c r="D2" i="22"/>
  <c r="C2" i="22"/>
  <c r="B2" i="22"/>
  <c r="A2" i="22"/>
  <c r="S1" i="22"/>
  <c r="R1" i="22"/>
  <c r="Q1" i="22"/>
  <c r="P1" i="22"/>
  <c r="S13" i="21"/>
  <c r="R13" i="21"/>
  <c r="Q13" i="21"/>
  <c r="P13" i="21"/>
  <c r="S12" i="21"/>
  <c r="R12" i="21"/>
  <c r="Q12" i="21"/>
  <c r="P12" i="21"/>
  <c r="S11" i="21"/>
  <c r="R11" i="21"/>
  <c r="Q11" i="21"/>
  <c r="P11" i="21"/>
  <c r="S10" i="21"/>
  <c r="R10" i="21"/>
  <c r="Q10" i="21"/>
  <c r="P10" i="21"/>
  <c r="S9" i="21"/>
  <c r="R9" i="21"/>
  <c r="Q9" i="21"/>
  <c r="P9" i="21"/>
  <c r="D9" i="21"/>
  <c r="C9" i="21"/>
  <c r="B9" i="21"/>
  <c r="A9" i="21"/>
  <c r="S8" i="21"/>
  <c r="R8" i="21"/>
  <c r="Q8" i="21"/>
  <c r="P8" i="21"/>
  <c r="D8" i="21"/>
  <c r="C8" i="21"/>
  <c r="B8" i="21"/>
  <c r="A8" i="21"/>
  <c r="S7" i="21"/>
  <c r="R7" i="21"/>
  <c r="Q7" i="21"/>
  <c r="P7" i="21"/>
  <c r="D7" i="21"/>
  <c r="C7" i="21"/>
  <c r="B7" i="21"/>
  <c r="A7" i="21"/>
  <c r="S6" i="21"/>
  <c r="R6" i="21"/>
  <c r="Q6" i="21"/>
  <c r="P6" i="21"/>
  <c r="D6" i="21"/>
  <c r="C6" i="21"/>
  <c r="B6" i="21"/>
  <c r="A6" i="21"/>
  <c r="S5" i="21"/>
  <c r="R5" i="21"/>
  <c r="Q5" i="21"/>
  <c r="P5" i="21"/>
  <c r="D5" i="21"/>
  <c r="C5" i="21"/>
  <c r="B5" i="21"/>
  <c r="A5" i="21"/>
  <c r="S4" i="21"/>
  <c r="R4" i="21"/>
  <c r="Q4" i="21"/>
  <c r="P4" i="21"/>
  <c r="D4" i="21"/>
  <c r="C4" i="21"/>
  <c r="B4" i="21"/>
  <c r="A4" i="21"/>
  <c r="S3" i="21"/>
  <c r="R3" i="21"/>
  <c r="Q3" i="21"/>
  <c r="P3" i="21"/>
  <c r="D3" i="21"/>
  <c r="C3" i="21"/>
  <c r="B3" i="21"/>
  <c r="A3" i="21"/>
  <c r="S2" i="21"/>
  <c r="R2" i="21"/>
  <c r="Q2" i="21"/>
  <c r="P2" i="21"/>
  <c r="D2" i="21"/>
  <c r="C2" i="21"/>
  <c r="B2" i="21"/>
  <c r="A2" i="21"/>
  <c r="S1" i="21"/>
  <c r="R1" i="21"/>
  <c r="Q1" i="21"/>
  <c r="P1" i="21"/>
  <c r="S5" i="20"/>
  <c r="R5" i="20"/>
  <c r="Q5" i="20"/>
  <c r="P5" i="20"/>
  <c r="S4" i="20"/>
  <c r="R4" i="20"/>
  <c r="Q4" i="20"/>
  <c r="P4" i="20"/>
  <c r="S3" i="20"/>
  <c r="R3" i="20"/>
  <c r="Q3" i="20"/>
  <c r="P3" i="20"/>
  <c r="S2" i="20"/>
  <c r="R2" i="20"/>
  <c r="Q2" i="20"/>
  <c r="P2" i="20"/>
  <c r="A2" i="20"/>
  <c r="S1" i="20"/>
  <c r="R1" i="20"/>
  <c r="Q1" i="20"/>
  <c r="P1" i="20"/>
  <c r="S9" i="19"/>
  <c r="R9" i="19"/>
  <c r="Q9" i="19"/>
  <c r="P9" i="19"/>
  <c r="S8" i="19"/>
  <c r="R8" i="19"/>
  <c r="Q8" i="19"/>
  <c r="P8" i="19"/>
  <c r="S7" i="19"/>
  <c r="R7" i="19"/>
  <c r="Q7" i="19"/>
  <c r="P7" i="19"/>
  <c r="S6" i="19"/>
  <c r="R6" i="19"/>
  <c r="Q6" i="19"/>
  <c r="P6" i="19"/>
  <c r="S5" i="19"/>
  <c r="R5" i="19"/>
  <c r="Q5" i="19"/>
  <c r="P5" i="19"/>
  <c r="D5" i="19"/>
  <c r="C5" i="19"/>
  <c r="B5" i="19"/>
  <c r="A5" i="19"/>
  <c r="S4" i="19"/>
  <c r="R4" i="19"/>
  <c r="Q4" i="19"/>
  <c r="P4" i="19"/>
  <c r="D4" i="19"/>
  <c r="C4" i="19"/>
  <c r="B4" i="19"/>
  <c r="A4" i="19"/>
  <c r="S3" i="19"/>
  <c r="R3" i="19"/>
  <c r="Q3" i="19"/>
  <c r="P3" i="19"/>
  <c r="D3" i="19"/>
  <c r="C3" i="19"/>
  <c r="B3" i="19"/>
  <c r="A3" i="19"/>
  <c r="S2" i="19"/>
  <c r="R2" i="19"/>
  <c r="Q2" i="19"/>
  <c r="P2" i="19"/>
  <c r="D2" i="19"/>
  <c r="C2" i="19"/>
  <c r="B2" i="19"/>
  <c r="A2" i="19"/>
  <c r="S1" i="19"/>
  <c r="R1" i="19"/>
  <c r="Q1" i="19"/>
  <c r="P1" i="19"/>
  <c r="S9" i="18"/>
  <c r="R9" i="18"/>
  <c r="Q9" i="18"/>
  <c r="P9" i="18"/>
  <c r="S8" i="18"/>
  <c r="R8" i="18"/>
  <c r="Q8" i="18"/>
  <c r="P8" i="18"/>
  <c r="S7" i="18"/>
  <c r="R7" i="18"/>
  <c r="Q7" i="18"/>
  <c r="P7" i="18"/>
  <c r="S6" i="18"/>
  <c r="R6" i="18"/>
  <c r="Q6" i="18"/>
  <c r="P6" i="18"/>
  <c r="S5" i="18"/>
  <c r="R5" i="18"/>
  <c r="Q5" i="18"/>
  <c r="P5" i="18"/>
  <c r="D5" i="18"/>
  <c r="C5" i="18"/>
  <c r="B5" i="18"/>
  <c r="A5" i="18"/>
  <c r="S4" i="18"/>
  <c r="R4" i="18"/>
  <c r="Q4" i="18"/>
  <c r="P4" i="18"/>
  <c r="D4" i="18"/>
  <c r="C4" i="18"/>
  <c r="B4" i="18"/>
  <c r="A4" i="18"/>
  <c r="S3" i="18"/>
  <c r="R3" i="18"/>
  <c r="Q3" i="18"/>
  <c r="P3" i="18"/>
  <c r="D3" i="18"/>
  <c r="C3" i="18"/>
  <c r="B3" i="18"/>
  <c r="A3" i="18"/>
  <c r="S2" i="18"/>
  <c r="R2" i="18"/>
  <c r="Q2" i="18"/>
  <c r="P2" i="18"/>
  <c r="D2" i="18"/>
  <c r="C2" i="18"/>
  <c r="B2" i="18"/>
  <c r="A2" i="18"/>
  <c r="S1" i="18"/>
  <c r="R1" i="18"/>
  <c r="Q1" i="18"/>
  <c r="P1" i="18"/>
  <c r="S13" i="17"/>
  <c r="R13" i="17"/>
  <c r="Q13" i="17"/>
  <c r="P13" i="17"/>
  <c r="S12" i="17"/>
  <c r="R12" i="17"/>
  <c r="Q12" i="17"/>
  <c r="P12" i="17"/>
  <c r="S11" i="17"/>
  <c r="R11" i="17"/>
  <c r="Q11" i="17"/>
  <c r="P11" i="17"/>
  <c r="S10" i="17"/>
  <c r="R10" i="17"/>
  <c r="Q10" i="17"/>
  <c r="P10" i="17"/>
  <c r="S9" i="17"/>
  <c r="R9" i="17"/>
  <c r="Q9" i="17"/>
  <c r="P9" i="17"/>
  <c r="D9" i="17"/>
  <c r="C9" i="17"/>
  <c r="B9" i="17"/>
  <c r="A9" i="17"/>
  <c r="S8" i="17"/>
  <c r="R8" i="17"/>
  <c r="Q8" i="17"/>
  <c r="P8" i="17"/>
  <c r="D8" i="17"/>
  <c r="C8" i="17"/>
  <c r="B8" i="17"/>
  <c r="A8" i="17"/>
  <c r="S7" i="17"/>
  <c r="R7" i="17"/>
  <c r="Q7" i="17"/>
  <c r="P7" i="17"/>
  <c r="D7" i="17"/>
  <c r="C7" i="17"/>
  <c r="B7" i="17"/>
  <c r="A7" i="17"/>
  <c r="S6" i="17"/>
  <c r="R6" i="17"/>
  <c r="Q6" i="17"/>
  <c r="P6" i="17"/>
  <c r="D6" i="17"/>
  <c r="C6" i="17"/>
  <c r="B6" i="17"/>
  <c r="A6" i="17"/>
  <c r="S5" i="17"/>
  <c r="R5" i="17"/>
  <c r="Q5" i="17"/>
  <c r="P5" i="17"/>
  <c r="D5" i="17"/>
  <c r="C5" i="17"/>
  <c r="B5" i="17"/>
  <c r="A5" i="17"/>
  <c r="S4" i="17"/>
  <c r="R4" i="17"/>
  <c r="Q4" i="17"/>
  <c r="P4" i="17"/>
  <c r="D4" i="17"/>
  <c r="C4" i="17"/>
  <c r="B4" i="17"/>
  <c r="A4" i="17"/>
  <c r="S3" i="17"/>
  <c r="R3" i="17"/>
  <c r="Q3" i="17"/>
  <c r="P3" i="17"/>
  <c r="D3" i="17"/>
  <c r="C3" i="17"/>
  <c r="B3" i="17"/>
  <c r="A3" i="17"/>
  <c r="S2" i="17"/>
  <c r="R2" i="17"/>
  <c r="Q2" i="17"/>
  <c r="P2" i="17"/>
  <c r="D2" i="17"/>
  <c r="C2" i="17"/>
  <c r="B2" i="17"/>
  <c r="A2" i="17"/>
  <c r="S1" i="17"/>
  <c r="R1" i="17"/>
  <c r="Q1" i="17"/>
  <c r="P1" i="17"/>
  <c r="S6" i="16"/>
  <c r="R6" i="16"/>
  <c r="Q6" i="16"/>
  <c r="P6" i="16"/>
  <c r="S5" i="16"/>
  <c r="R5" i="16"/>
  <c r="Q5" i="16"/>
  <c r="P5" i="16"/>
  <c r="S4" i="16"/>
  <c r="R4" i="16"/>
  <c r="Q4" i="16"/>
  <c r="P4" i="16"/>
  <c r="S3" i="16"/>
  <c r="R3" i="16"/>
  <c r="Q3" i="16"/>
  <c r="P3" i="16"/>
  <c r="S2" i="16"/>
  <c r="R2" i="16"/>
  <c r="Q2" i="16"/>
  <c r="P2" i="16"/>
  <c r="D2" i="16"/>
  <c r="C2" i="16"/>
  <c r="B2" i="16"/>
  <c r="A2" i="16"/>
  <c r="S1" i="16"/>
  <c r="R1" i="16"/>
  <c r="Q1" i="16"/>
  <c r="P1" i="16"/>
  <c r="S13" i="15"/>
  <c r="R13" i="15"/>
  <c r="Q13" i="15"/>
  <c r="P13" i="15"/>
  <c r="S12" i="15"/>
  <c r="R12" i="15"/>
  <c r="Q12" i="15"/>
  <c r="P12" i="15"/>
  <c r="S11" i="15"/>
  <c r="R11" i="15"/>
  <c r="Q11" i="15"/>
  <c r="P11" i="15"/>
  <c r="S10" i="15"/>
  <c r="R10" i="15"/>
  <c r="Q10" i="15"/>
  <c r="P10" i="15"/>
  <c r="S9" i="15"/>
  <c r="R9" i="15"/>
  <c r="Q9" i="15"/>
  <c r="P9" i="15"/>
  <c r="D9" i="15"/>
  <c r="C9" i="15"/>
  <c r="B9" i="15"/>
  <c r="A9" i="15"/>
  <c r="S8" i="15"/>
  <c r="R8" i="15"/>
  <c r="Q8" i="15"/>
  <c r="P8" i="15"/>
  <c r="D8" i="15"/>
  <c r="C8" i="15"/>
  <c r="B8" i="15"/>
  <c r="A8" i="15"/>
  <c r="S7" i="15"/>
  <c r="R7" i="15"/>
  <c r="Q7" i="15"/>
  <c r="P7" i="15"/>
  <c r="D7" i="15"/>
  <c r="C7" i="15"/>
  <c r="B7" i="15"/>
  <c r="A7" i="15"/>
  <c r="S6" i="15"/>
  <c r="R6" i="15"/>
  <c r="Q6" i="15"/>
  <c r="P6" i="15"/>
  <c r="D6" i="15"/>
  <c r="C6" i="15"/>
  <c r="B6" i="15"/>
  <c r="A6" i="15"/>
  <c r="S5" i="15"/>
  <c r="R5" i="15"/>
  <c r="Q5" i="15"/>
  <c r="P5" i="15"/>
  <c r="D5" i="15"/>
  <c r="C5" i="15"/>
  <c r="B5" i="15"/>
  <c r="A5" i="15"/>
  <c r="S4" i="15"/>
  <c r="R4" i="15"/>
  <c r="Q4" i="15"/>
  <c r="P4" i="15"/>
  <c r="D4" i="15"/>
  <c r="C4" i="15"/>
  <c r="B4" i="15"/>
  <c r="A4" i="15"/>
  <c r="S3" i="15"/>
  <c r="R3" i="15"/>
  <c r="Q3" i="15"/>
  <c r="P3" i="15"/>
  <c r="D3" i="15"/>
  <c r="C3" i="15"/>
  <c r="B3" i="15"/>
  <c r="A3" i="15"/>
  <c r="S2" i="15"/>
  <c r="R2" i="15"/>
  <c r="Q2" i="15"/>
  <c r="P2" i="15"/>
  <c r="C2" i="15"/>
  <c r="B2" i="15"/>
  <c r="A2" i="15"/>
  <c r="S1" i="15"/>
  <c r="R1" i="15"/>
  <c r="Q1" i="15"/>
  <c r="P1" i="15"/>
  <c r="S9" i="14"/>
  <c r="R9" i="14"/>
  <c r="Q9" i="14"/>
  <c r="P9" i="14"/>
  <c r="S8" i="14"/>
  <c r="R8" i="14"/>
  <c r="Q8" i="14"/>
  <c r="P8" i="14"/>
  <c r="S7" i="14"/>
  <c r="R7" i="14"/>
  <c r="Q7" i="14"/>
  <c r="P7" i="14"/>
  <c r="S6" i="14"/>
  <c r="R6" i="14"/>
  <c r="Q6" i="14"/>
  <c r="P6" i="14"/>
  <c r="S5" i="14"/>
  <c r="R5" i="14"/>
  <c r="Q5" i="14"/>
  <c r="P5" i="14"/>
  <c r="D5" i="14"/>
  <c r="C5" i="14"/>
  <c r="B5" i="14"/>
  <c r="A5" i="14"/>
  <c r="S4" i="14"/>
  <c r="R4" i="14"/>
  <c r="Q4" i="14"/>
  <c r="P4" i="14"/>
  <c r="D4" i="14"/>
  <c r="C4" i="14"/>
  <c r="B4" i="14"/>
  <c r="A4" i="14"/>
  <c r="S3" i="14"/>
  <c r="R3" i="14"/>
  <c r="Q3" i="14"/>
  <c r="P3" i="14"/>
  <c r="C3" i="14"/>
  <c r="A3" i="14"/>
  <c r="S2" i="14"/>
  <c r="R2" i="14"/>
  <c r="Q2" i="14"/>
  <c r="P2" i="14"/>
  <c r="D2" i="14"/>
  <c r="C2" i="14"/>
  <c r="B2" i="14"/>
  <c r="A2" i="14"/>
  <c r="S1" i="14"/>
  <c r="R1" i="14"/>
  <c r="Q1" i="14"/>
  <c r="P1" i="14"/>
  <c r="S5" i="13"/>
  <c r="R5" i="13"/>
  <c r="Q5" i="13"/>
  <c r="P5" i="13"/>
  <c r="S4" i="13"/>
  <c r="R4" i="13"/>
  <c r="Q4" i="13"/>
  <c r="P4" i="13"/>
  <c r="S3" i="13"/>
  <c r="R3" i="13"/>
  <c r="Q3" i="13"/>
  <c r="P3" i="13"/>
  <c r="S2" i="13"/>
  <c r="R2" i="13"/>
  <c r="Q2" i="13"/>
  <c r="P2" i="13"/>
  <c r="A2" i="13"/>
  <c r="S1" i="13"/>
  <c r="R1" i="13"/>
  <c r="Q1" i="13"/>
  <c r="P1" i="13"/>
  <c r="S7" i="12"/>
  <c r="R7" i="12"/>
  <c r="Q7" i="12"/>
  <c r="P7" i="12"/>
  <c r="S6" i="12"/>
  <c r="R6" i="12"/>
  <c r="Q6" i="12"/>
  <c r="P6" i="12"/>
  <c r="S5" i="12"/>
  <c r="R5" i="12"/>
  <c r="Q5" i="12"/>
  <c r="P5" i="12"/>
  <c r="S4" i="12"/>
  <c r="R4" i="12"/>
  <c r="Q4" i="12"/>
  <c r="P4" i="12"/>
  <c r="S3" i="12"/>
  <c r="R3" i="12"/>
  <c r="Q3" i="12"/>
  <c r="P3" i="12"/>
  <c r="D3" i="12"/>
  <c r="C3" i="12"/>
  <c r="B3" i="12"/>
  <c r="A3" i="12"/>
  <c r="S2" i="12"/>
  <c r="R2" i="12"/>
  <c r="Q2" i="12"/>
  <c r="P2" i="12"/>
  <c r="D2" i="12"/>
  <c r="C2" i="12"/>
  <c r="B2" i="12"/>
  <c r="A2" i="12"/>
  <c r="S1" i="12"/>
  <c r="R1" i="12"/>
  <c r="Q1" i="12"/>
  <c r="P1" i="12"/>
  <c r="S15" i="11"/>
  <c r="R15" i="11"/>
  <c r="Q15" i="11"/>
  <c r="P15" i="11"/>
  <c r="S14" i="11"/>
  <c r="R14" i="11"/>
  <c r="Q14" i="11"/>
  <c r="P14" i="11"/>
  <c r="S13" i="11"/>
  <c r="R13" i="11"/>
  <c r="Q13" i="11"/>
  <c r="P13" i="11"/>
  <c r="S12" i="11"/>
  <c r="R12" i="11"/>
  <c r="Q12" i="11"/>
  <c r="P12" i="11"/>
  <c r="S11" i="11"/>
  <c r="R11" i="11"/>
  <c r="Q11" i="11"/>
  <c r="P11" i="11"/>
  <c r="D11" i="11"/>
  <c r="C11" i="11"/>
  <c r="B11" i="11"/>
  <c r="A11" i="11"/>
  <c r="S10" i="11"/>
  <c r="R10" i="11"/>
  <c r="Q10" i="11"/>
  <c r="P10" i="11"/>
  <c r="D10" i="11"/>
  <c r="C10" i="11"/>
  <c r="B10" i="11"/>
  <c r="A10" i="11"/>
  <c r="S9" i="11"/>
  <c r="R9" i="11"/>
  <c r="Q9" i="11"/>
  <c r="P9" i="11"/>
  <c r="D9" i="11"/>
  <c r="C9" i="11"/>
  <c r="B9" i="11"/>
  <c r="A9" i="11"/>
  <c r="S8" i="11"/>
  <c r="R8" i="11"/>
  <c r="Q8" i="11"/>
  <c r="P8" i="11"/>
  <c r="D8" i="11"/>
  <c r="C8" i="11"/>
  <c r="B8" i="11"/>
  <c r="A8" i="11"/>
  <c r="S7" i="11"/>
  <c r="R7" i="11"/>
  <c r="Q7" i="11"/>
  <c r="P7" i="11"/>
  <c r="D7" i="11"/>
  <c r="C7" i="11"/>
  <c r="B7" i="11"/>
  <c r="A7" i="11"/>
  <c r="S6" i="11"/>
  <c r="R6" i="11"/>
  <c r="Q6" i="11"/>
  <c r="P6" i="11"/>
  <c r="D6" i="11"/>
  <c r="C6" i="11"/>
  <c r="B6" i="11"/>
  <c r="A6" i="11"/>
  <c r="S5" i="11"/>
  <c r="R5" i="11"/>
  <c r="Q5" i="11"/>
  <c r="P5" i="11"/>
  <c r="D5" i="11"/>
  <c r="C5" i="11"/>
  <c r="B5" i="11"/>
  <c r="A5" i="11"/>
  <c r="S4" i="11"/>
  <c r="R4" i="11"/>
  <c r="Q4" i="11"/>
  <c r="P4" i="11"/>
  <c r="D4" i="11"/>
  <c r="C4" i="11"/>
  <c r="B4" i="11"/>
  <c r="A4" i="11"/>
  <c r="S3" i="11"/>
  <c r="R3" i="11"/>
  <c r="Q3" i="11"/>
  <c r="P3" i="11"/>
  <c r="D3" i="11"/>
  <c r="C3" i="11"/>
  <c r="B3" i="11"/>
  <c r="A3" i="11"/>
  <c r="S2" i="11"/>
  <c r="R2" i="11"/>
  <c r="Q2" i="11"/>
  <c r="P2" i="11"/>
  <c r="D2" i="11"/>
  <c r="C2" i="11"/>
  <c r="B2" i="11"/>
  <c r="A2" i="11"/>
  <c r="S1" i="11"/>
  <c r="R1" i="11"/>
  <c r="Q1" i="11"/>
  <c r="P1" i="11"/>
  <c r="S9" i="10"/>
  <c r="R9" i="10"/>
  <c r="Q9" i="10"/>
  <c r="P9" i="10"/>
  <c r="S8" i="10"/>
  <c r="R8" i="10"/>
  <c r="Q8" i="10"/>
  <c r="P8" i="10"/>
  <c r="S7" i="10"/>
  <c r="R7" i="10"/>
  <c r="Q7" i="10"/>
  <c r="P7" i="10"/>
  <c r="S6" i="10"/>
  <c r="R6" i="10"/>
  <c r="Q6" i="10"/>
  <c r="P6" i="10"/>
  <c r="S5" i="10"/>
  <c r="R5" i="10"/>
  <c r="Q5" i="10"/>
  <c r="P5" i="10"/>
  <c r="D5" i="10"/>
  <c r="C5" i="10"/>
  <c r="B5" i="10"/>
  <c r="A5" i="10"/>
  <c r="S4" i="10"/>
  <c r="R4" i="10"/>
  <c r="Q4" i="10"/>
  <c r="P4" i="10"/>
  <c r="D4" i="10"/>
  <c r="C4" i="10"/>
  <c r="A4" i="10"/>
  <c r="S3" i="10"/>
  <c r="R3" i="10"/>
  <c r="Q3" i="10"/>
  <c r="P3" i="10"/>
  <c r="D3" i="10"/>
  <c r="C3" i="10"/>
  <c r="B3" i="10"/>
  <c r="A3" i="10"/>
  <c r="S2" i="10"/>
  <c r="R2" i="10"/>
  <c r="Q2" i="10"/>
  <c r="P2" i="10"/>
  <c r="D2" i="10"/>
  <c r="C2" i="10"/>
  <c r="B2" i="10"/>
  <c r="A2" i="10"/>
  <c r="S1" i="10"/>
  <c r="R1" i="10"/>
  <c r="Q1" i="10"/>
  <c r="P1" i="10"/>
  <c r="S11" i="9"/>
  <c r="R11" i="9"/>
  <c r="Q11" i="9"/>
  <c r="P11" i="9"/>
  <c r="S10" i="9"/>
  <c r="R10" i="9"/>
  <c r="Q10" i="9"/>
  <c r="P10" i="9"/>
  <c r="S9" i="9"/>
  <c r="R9" i="9"/>
  <c r="Q9" i="9"/>
  <c r="P9" i="9"/>
  <c r="S8" i="9"/>
  <c r="R8" i="9"/>
  <c r="Q8" i="9"/>
  <c r="P8" i="9"/>
  <c r="S7" i="9"/>
  <c r="R7" i="9"/>
  <c r="Q7" i="9"/>
  <c r="P7" i="9"/>
  <c r="D7" i="9"/>
  <c r="C7" i="9"/>
  <c r="B7" i="9"/>
  <c r="A7" i="9"/>
  <c r="S6" i="9"/>
  <c r="R6" i="9"/>
  <c r="Q6" i="9"/>
  <c r="P6" i="9"/>
  <c r="D6" i="9"/>
  <c r="C6" i="9"/>
  <c r="B6" i="9"/>
  <c r="A6" i="9"/>
  <c r="S5" i="9"/>
  <c r="R5" i="9"/>
  <c r="Q5" i="9"/>
  <c r="P5" i="9"/>
  <c r="D5" i="9"/>
  <c r="C5" i="9"/>
  <c r="B5" i="9"/>
  <c r="A5" i="9"/>
  <c r="S4" i="9"/>
  <c r="R4" i="9"/>
  <c r="Q4" i="9"/>
  <c r="P4" i="9"/>
  <c r="D4" i="9"/>
  <c r="C4" i="9"/>
  <c r="B4" i="9"/>
  <c r="A4" i="9"/>
  <c r="S3" i="9"/>
  <c r="R3" i="9"/>
  <c r="Q3" i="9"/>
  <c r="P3" i="9"/>
  <c r="D3" i="9"/>
  <c r="C3" i="9"/>
  <c r="B3" i="9"/>
  <c r="A3" i="9"/>
  <c r="S2" i="9"/>
  <c r="R2" i="9"/>
  <c r="Q2" i="9"/>
  <c r="P2" i="9"/>
  <c r="D2" i="9"/>
  <c r="C2" i="9"/>
  <c r="B2" i="9"/>
  <c r="A2" i="9"/>
  <c r="S1" i="9"/>
  <c r="R1" i="9"/>
  <c r="Q1" i="9"/>
  <c r="P1" i="9"/>
  <c r="S12" i="8"/>
  <c r="R12" i="8"/>
  <c r="Q12" i="8"/>
  <c r="P12" i="8"/>
  <c r="S11" i="8"/>
  <c r="R11" i="8"/>
  <c r="Q11" i="8"/>
  <c r="P11" i="8"/>
  <c r="S10" i="8"/>
  <c r="R10" i="8"/>
  <c r="Q10" i="8"/>
  <c r="P10" i="8"/>
  <c r="S9" i="8"/>
  <c r="R9" i="8"/>
  <c r="Q9" i="8"/>
  <c r="P9" i="8"/>
  <c r="S8" i="8"/>
  <c r="R8" i="8"/>
  <c r="Q8" i="8"/>
  <c r="P8" i="8"/>
  <c r="D8" i="8"/>
  <c r="C8" i="8"/>
  <c r="B8" i="8"/>
  <c r="A8" i="8"/>
  <c r="S7" i="8"/>
  <c r="R7" i="8"/>
  <c r="Q7" i="8"/>
  <c r="P7" i="8"/>
  <c r="D7" i="8"/>
  <c r="C7" i="8"/>
  <c r="B7" i="8"/>
  <c r="A7" i="8"/>
  <c r="S6" i="8"/>
  <c r="R6" i="8"/>
  <c r="Q6" i="8"/>
  <c r="P6" i="8"/>
  <c r="D6" i="8"/>
  <c r="C6" i="8"/>
  <c r="B6" i="8"/>
  <c r="A6" i="8"/>
  <c r="S5" i="8"/>
  <c r="R5" i="8"/>
  <c r="Q5" i="8"/>
  <c r="P5" i="8"/>
  <c r="D5" i="8"/>
  <c r="C5" i="8"/>
  <c r="B5" i="8"/>
  <c r="A5" i="8"/>
  <c r="S4" i="8"/>
  <c r="R4" i="8"/>
  <c r="Q4" i="8"/>
  <c r="P4" i="8"/>
  <c r="D4" i="8"/>
  <c r="C4" i="8"/>
  <c r="B4" i="8"/>
  <c r="A4" i="8"/>
  <c r="S3" i="8"/>
  <c r="R3" i="8"/>
  <c r="Q3" i="8"/>
  <c r="P3" i="8"/>
  <c r="D3" i="8"/>
  <c r="C3" i="8"/>
  <c r="B3" i="8"/>
  <c r="A3" i="8"/>
  <c r="S2" i="8"/>
  <c r="R2" i="8"/>
  <c r="Q2" i="8"/>
  <c r="P2" i="8"/>
  <c r="C2" i="8"/>
  <c r="B2" i="8"/>
  <c r="A2" i="8"/>
  <c r="S1" i="8"/>
  <c r="R1" i="8"/>
  <c r="Q1" i="8"/>
  <c r="P1" i="8"/>
  <c r="S22" i="7"/>
  <c r="R22" i="7"/>
  <c r="Q22" i="7"/>
  <c r="P22" i="7"/>
  <c r="S21" i="7"/>
  <c r="R21" i="7"/>
  <c r="Q21" i="7"/>
  <c r="P21" i="7"/>
  <c r="S20" i="7"/>
  <c r="R20" i="7"/>
  <c r="Q20" i="7"/>
  <c r="P20" i="7"/>
  <c r="S19" i="7"/>
  <c r="R19" i="7"/>
  <c r="Q19" i="7"/>
  <c r="P19" i="7"/>
  <c r="D19" i="7"/>
  <c r="C19" i="7"/>
  <c r="B19" i="7"/>
  <c r="A19" i="7"/>
  <c r="S18" i="7"/>
  <c r="R18" i="7"/>
  <c r="Q18" i="7"/>
  <c r="P18" i="7"/>
  <c r="D18" i="7"/>
  <c r="C18" i="7"/>
  <c r="B18" i="7"/>
  <c r="A18" i="7"/>
  <c r="S17" i="7"/>
  <c r="R17" i="7"/>
  <c r="Q17" i="7"/>
  <c r="P17" i="7"/>
  <c r="D17" i="7"/>
  <c r="C17" i="7"/>
  <c r="B17" i="7"/>
  <c r="A17" i="7"/>
  <c r="S16" i="7"/>
  <c r="R16" i="7"/>
  <c r="Q16" i="7"/>
  <c r="P16" i="7"/>
  <c r="D16" i="7"/>
  <c r="C16" i="7"/>
  <c r="B16" i="7"/>
  <c r="A16" i="7"/>
  <c r="S15" i="7"/>
  <c r="R15" i="7"/>
  <c r="Q15" i="7"/>
  <c r="P15" i="7"/>
  <c r="D15" i="7"/>
  <c r="C15" i="7"/>
  <c r="B15" i="7"/>
  <c r="A15" i="7"/>
  <c r="S14" i="7"/>
  <c r="R14" i="7"/>
  <c r="Q14" i="7"/>
  <c r="P14" i="7"/>
  <c r="D14" i="7"/>
  <c r="C14" i="7"/>
  <c r="B14" i="7"/>
  <c r="A14" i="7"/>
  <c r="S13" i="7"/>
  <c r="R13" i="7"/>
  <c r="Q13" i="7"/>
  <c r="P13" i="7"/>
  <c r="D13" i="7"/>
  <c r="C13" i="7"/>
  <c r="B13" i="7"/>
  <c r="A13" i="7"/>
  <c r="S12" i="7"/>
  <c r="R12" i="7"/>
  <c r="Q12" i="7"/>
  <c r="P12" i="7"/>
  <c r="C12" i="7"/>
  <c r="A12" i="7"/>
  <c r="S11" i="7"/>
  <c r="R11" i="7"/>
  <c r="Q11" i="7"/>
  <c r="P11" i="7"/>
  <c r="D11" i="7"/>
  <c r="C11" i="7"/>
  <c r="B11" i="7"/>
  <c r="A11" i="7"/>
  <c r="S10" i="7"/>
  <c r="R10" i="7"/>
  <c r="Q10" i="7"/>
  <c r="P10" i="7"/>
  <c r="D10" i="7"/>
  <c r="C10" i="7"/>
  <c r="B10" i="7"/>
  <c r="A10" i="7"/>
  <c r="S9" i="7"/>
  <c r="R9" i="7"/>
  <c r="Q9" i="7"/>
  <c r="P9" i="7"/>
  <c r="D9" i="7"/>
  <c r="C9" i="7"/>
  <c r="B9" i="7"/>
  <c r="A9" i="7"/>
  <c r="S8" i="7"/>
  <c r="R8" i="7"/>
  <c r="Q8" i="7"/>
  <c r="P8" i="7"/>
  <c r="D8" i="7"/>
  <c r="C8" i="7"/>
  <c r="B8" i="7"/>
  <c r="A8" i="7"/>
  <c r="S7" i="7"/>
  <c r="R7" i="7"/>
  <c r="Q7" i="7"/>
  <c r="P7" i="7"/>
  <c r="D7" i="7"/>
  <c r="C7" i="7"/>
  <c r="B7" i="7"/>
  <c r="A7" i="7"/>
  <c r="S6" i="7"/>
  <c r="R6" i="7"/>
  <c r="Q6" i="7"/>
  <c r="P6" i="7"/>
  <c r="D6" i="7"/>
  <c r="C6" i="7"/>
  <c r="B6" i="7"/>
  <c r="A6" i="7"/>
  <c r="S5" i="7"/>
  <c r="R5" i="7"/>
  <c r="Q5" i="7"/>
  <c r="P5" i="7"/>
  <c r="D5" i="7"/>
  <c r="C5" i="7"/>
  <c r="B5" i="7"/>
  <c r="A5" i="7"/>
  <c r="S4" i="7"/>
  <c r="R4" i="7"/>
  <c r="Q4" i="7"/>
  <c r="P4" i="7"/>
  <c r="D4" i="7"/>
  <c r="C4" i="7"/>
  <c r="B4" i="7"/>
  <c r="A4" i="7"/>
  <c r="S3" i="7"/>
  <c r="R3" i="7"/>
  <c r="Q3" i="7"/>
  <c r="P3" i="7"/>
  <c r="D3" i="7"/>
  <c r="C3" i="7"/>
  <c r="B3" i="7"/>
  <c r="A3" i="7"/>
  <c r="S2" i="7"/>
  <c r="R2" i="7"/>
  <c r="Q2" i="7"/>
  <c r="P2" i="7"/>
  <c r="D2" i="7"/>
  <c r="C2" i="7"/>
  <c r="B2" i="7"/>
  <c r="A2" i="7"/>
  <c r="S1" i="7"/>
  <c r="R1" i="7"/>
  <c r="Q1" i="7"/>
  <c r="P1" i="7"/>
  <c r="S14" i="6"/>
  <c r="R14" i="6"/>
  <c r="Q14" i="6"/>
  <c r="P14" i="6"/>
  <c r="S13" i="6"/>
  <c r="R13" i="6"/>
  <c r="Q13" i="6"/>
  <c r="P13" i="6"/>
  <c r="S12" i="6"/>
  <c r="R12" i="6"/>
  <c r="Q12" i="6"/>
  <c r="P12" i="6"/>
  <c r="S11" i="6"/>
  <c r="R11" i="6"/>
  <c r="Q11" i="6"/>
  <c r="P11" i="6"/>
  <c r="S10" i="6"/>
  <c r="R10" i="6"/>
  <c r="Q10" i="6"/>
  <c r="P10" i="6"/>
  <c r="D10" i="6"/>
  <c r="C10" i="6"/>
  <c r="B10" i="6"/>
  <c r="A10" i="6"/>
  <c r="S9" i="6"/>
  <c r="R9" i="6"/>
  <c r="Q9" i="6"/>
  <c r="P9" i="6"/>
  <c r="D9" i="6"/>
  <c r="C9" i="6"/>
  <c r="B9" i="6"/>
  <c r="A9" i="6"/>
  <c r="S8" i="6"/>
  <c r="R8" i="6"/>
  <c r="Q8" i="6"/>
  <c r="P8" i="6"/>
  <c r="D8" i="6"/>
  <c r="C8" i="6"/>
  <c r="B8" i="6"/>
  <c r="A8" i="6"/>
  <c r="S7" i="6"/>
  <c r="R7" i="6"/>
  <c r="Q7" i="6"/>
  <c r="P7" i="6"/>
  <c r="D7" i="6"/>
  <c r="C7" i="6"/>
  <c r="B7" i="6"/>
  <c r="A7" i="6"/>
  <c r="S6" i="6"/>
  <c r="R6" i="6"/>
  <c r="Q6" i="6"/>
  <c r="P6" i="6"/>
  <c r="D6" i="6"/>
  <c r="C6" i="6"/>
  <c r="B6" i="6"/>
  <c r="A6" i="6"/>
  <c r="S5" i="6"/>
  <c r="R5" i="6"/>
  <c r="Q5" i="6"/>
  <c r="P5" i="6"/>
  <c r="D5" i="6"/>
  <c r="C5" i="6"/>
  <c r="B5" i="6"/>
  <c r="A5" i="6"/>
  <c r="S4" i="6"/>
  <c r="R4" i="6"/>
  <c r="Q4" i="6"/>
  <c r="P4" i="6"/>
  <c r="D4" i="6"/>
  <c r="C4" i="6"/>
  <c r="B4" i="6"/>
  <c r="A4" i="6"/>
  <c r="S3" i="6"/>
  <c r="R3" i="6"/>
  <c r="Q3" i="6"/>
  <c r="P3" i="6"/>
  <c r="D3" i="6"/>
  <c r="C3" i="6"/>
  <c r="B3" i="6"/>
  <c r="A3" i="6"/>
  <c r="S2" i="6"/>
  <c r="R2" i="6"/>
  <c r="Q2" i="6"/>
  <c r="P2" i="6"/>
  <c r="D2" i="6"/>
  <c r="C2" i="6"/>
  <c r="B2" i="6"/>
  <c r="A2" i="6"/>
  <c r="S1" i="6"/>
  <c r="R1" i="6"/>
  <c r="Q1" i="6"/>
  <c r="P1" i="6"/>
  <c r="S8" i="5"/>
  <c r="R8" i="5"/>
  <c r="Q8" i="5"/>
  <c r="P8" i="5"/>
  <c r="S7" i="5"/>
  <c r="R7" i="5"/>
  <c r="Q7" i="5"/>
  <c r="P7" i="5"/>
  <c r="S6" i="5"/>
  <c r="R6" i="5"/>
  <c r="Q6" i="5"/>
  <c r="P6" i="5"/>
  <c r="S5" i="5"/>
  <c r="R5" i="5"/>
  <c r="Q5" i="5"/>
  <c r="P5" i="5"/>
  <c r="S4" i="5"/>
  <c r="R4" i="5"/>
  <c r="Q4" i="5"/>
  <c r="P4" i="5"/>
  <c r="D4" i="5"/>
  <c r="C4" i="5"/>
  <c r="B4" i="5"/>
  <c r="A4" i="5"/>
  <c r="S3" i="5"/>
  <c r="R3" i="5"/>
  <c r="Q3" i="5"/>
  <c r="P3" i="5"/>
  <c r="D3" i="5"/>
  <c r="C3" i="5"/>
  <c r="B3" i="5"/>
  <c r="A3" i="5"/>
  <c r="S2" i="5"/>
  <c r="R2" i="5"/>
  <c r="Q2" i="5"/>
  <c r="P2" i="5"/>
  <c r="D2" i="5"/>
  <c r="C2" i="5"/>
  <c r="B2" i="5"/>
  <c r="A2" i="5"/>
  <c r="S1" i="5"/>
  <c r="R1" i="5"/>
  <c r="Q1" i="5"/>
  <c r="P1" i="5"/>
  <c r="S9" i="4"/>
  <c r="R9" i="4"/>
  <c r="Q9" i="4"/>
  <c r="P9" i="4"/>
  <c r="S8" i="4"/>
  <c r="R8" i="4"/>
  <c r="Q8" i="4"/>
  <c r="P8" i="4"/>
  <c r="S6" i="4"/>
  <c r="R6" i="4"/>
  <c r="Q6" i="4"/>
  <c r="P6" i="4"/>
  <c r="S5" i="4"/>
  <c r="R5" i="4"/>
  <c r="Q5" i="4"/>
  <c r="P5" i="4"/>
  <c r="S4" i="4"/>
  <c r="R4" i="4"/>
  <c r="Q4" i="4"/>
  <c r="P4" i="4"/>
  <c r="D4" i="4"/>
  <c r="C4" i="4"/>
  <c r="B4" i="4"/>
  <c r="A4" i="4"/>
  <c r="R3" i="4"/>
  <c r="Q3" i="4"/>
  <c r="P3" i="4"/>
  <c r="D3" i="4"/>
  <c r="C3" i="4"/>
  <c r="B3" i="4"/>
  <c r="A3" i="4"/>
  <c r="S2" i="4"/>
  <c r="R2" i="4"/>
  <c r="Q2" i="4"/>
  <c r="P2" i="4"/>
  <c r="C2" i="4"/>
  <c r="B2" i="4"/>
  <c r="A2" i="4"/>
  <c r="S1" i="4"/>
  <c r="R1" i="4"/>
  <c r="Q1" i="4"/>
  <c r="P1" i="4"/>
  <c r="BB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S2" authorId="0" shapeId="0" xr:uid="{00000000-0006-0000-0100-000001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I3" authorId="0" shapeId="0" xr:uid="{00000000-0006-0000-0100-000002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I4" authorId="0" shapeId="0" xr:uid="{00000000-0006-0000-0100-000003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I5" authorId="0" shapeId="0" xr:uid="{00000000-0006-0000-0100-000004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I9" authorId="0" shapeId="0" xr:uid="{00000000-0006-0000-0100-000005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Q15" authorId="0" shapeId="0" xr:uid="{00000000-0006-0000-0100-000006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AA15" authorId="0" shapeId="0" xr:uid="{00000000-0006-0000-0100-000007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I19" authorId="0" shapeId="0" xr:uid="{00000000-0006-0000-0100-000008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AS21" authorId="0" shapeId="0" xr:uid="{00000000-0006-0000-0100-000009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  <comment ref="I22" authorId="0" shapeId="0" xr:uid="{00000000-0006-0000-0100-00000A000000}">
      <text>
        <r>
          <rPr>
            <sz val="10"/>
            <color rgb="FF000000"/>
            <rFont val="Arial"/>
            <scheme val="minor"/>
          </rPr>
          <t>Responder updated this value.</t>
        </r>
      </text>
    </comment>
  </commentList>
</comments>
</file>

<file path=xl/sharedStrings.xml><?xml version="1.0" encoding="utf-8"?>
<sst xmlns="http://schemas.openxmlformats.org/spreadsheetml/2006/main" count="687" uniqueCount="213">
  <si>
    <t>Timestamp</t>
  </si>
  <si>
    <t>Back Number</t>
  </si>
  <si>
    <t>Horse Name</t>
  </si>
  <si>
    <t>Horse RMHA Number</t>
  </si>
  <si>
    <t>Horse Sex</t>
  </si>
  <si>
    <t>Year Foaled</t>
  </si>
  <si>
    <t>RMHA Certified</t>
  </si>
  <si>
    <t>Juvenile Riders</t>
  </si>
  <si>
    <t>Owner</t>
  </si>
  <si>
    <t>Owner RMHA Number</t>
  </si>
  <si>
    <t>Owner Address, City, State, Zip, Phone, Email</t>
  </si>
  <si>
    <t>Trainer</t>
  </si>
  <si>
    <t>Trainer RMHA Number</t>
  </si>
  <si>
    <t>Trainer Exhibitor Number</t>
  </si>
  <si>
    <t>Trainer Address, City, State, Zip, Phone, Email</t>
  </si>
  <si>
    <t>Rider 1 Name</t>
  </si>
  <si>
    <t>Exhibitor No - CL</t>
  </si>
  <si>
    <t>Juvenile Rider</t>
  </si>
  <si>
    <t>Rider 1 Classes</t>
  </si>
  <si>
    <t>Does this horse have additional Riders?</t>
  </si>
  <si>
    <t>Rider 2 Name</t>
  </si>
  <si>
    <t>Rider 2 Classes</t>
  </si>
  <si>
    <t>Rider 3 Name</t>
  </si>
  <si>
    <t>Rider 3 Classes</t>
  </si>
  <si>
    <t>Rider 4 Name</t>
  </si>
  <si>
    <t>Rider 4 Classes</t>
  </si>
  <si>
    <t>Rider 5 Name</t>
  </si>
  <si>
    <t>Rider 5 Classes</t>
  </si>
  <si>
    <t>Rider 6 Name</t>
  </si>
  <si>
    <t>Rider 6 Classes</t>
  </si>
  <si>
    <t>Mare</t>
  </si>
  <si>
    <t>Yes</t>
  </si>
  <si>
    <t>No</t>
  </si>
  <si>
    <t>Gelding</t>
  </si>
  <si>
    <t>Stallion</t>
  </si>
  <si>
    <t>HCR's After Midnight</t>
  </si>
  <si>
    <t>Julie Brown</t>
  </si>
  <si>
    <t>20. RMHA AMATEUR SHOW PLEASURE</t>
  </si>
  <si>
    <t>Leah Palmquist</t>
  </si>
  <si>
    <t>Elite's Hallelujah</t>
  </si>
  <si>
    <t>Rythym's Belle Bottom Blues</t>
  </si>
  <si>
    <t>Amanda Gooch</t>
  </si>
  <si>
    <t>6. RMHA LADIES COUNTRY TRAIL PLEASURE</t>
  </si>
  <si>
    <t>Derek Vance</t>
  </si>
  <si>
    <t>Travis Robinson</t>
  </si>
  <si>
    <t>Paco's Master Piece</t>
  </si>
  <si>
    <t>Peg Edwards</t>
  </si>
  <si>
    <t>25. RMHA AOT TRAIL PLEASURE</t>
  </si>
  <si>
    <t>Black Market Diamond</t>
  </si>
  <si>
    <t>Charlie DeAtley</t>
  </si>
  <si>
    <t>Sydney's Little Honey</t>
  </si>
  <si>
    <t>4. RMHA AMATEUR TRAIL PLEASURE</t>
  </si>
  <si>
    <t>18. RMHA YOUTH 12-17 TRAIL PLEASURE</t>
  </si>
  <si>
    <t>11. RMHA SHOW PLEASURE STALLIONS</t>
  </si>
  <si>
    <t>30. RMHA TRAIL PLEASURE STALLIONS</t>
  </si>
  <si>
    <t>9. JACK BENNY (55 &amp; OVER) WALK, FAVORITE GAIT</t>
  </si>
  <si>
    <t>26. RMHA LADIES SHOW PLEASURE</t>
  </si>
  <si>
    <t>Kendall Jordan</t>
  </si>
  <si>
    <t>35. OPEN COUNTRY TRAIL PLEASURE</t>
  </si>
  <si>
    <t>19. RMHA NOVICE COUNTRY TRAIL PLEASURE</t>
  </si>
  <si>
    <t>1. LEAD LINE</t>
  </si>
  <si>
    <t>DHS's Diamond Broker</t>
  </si>
  <si>
    <t>Ruby DeAtley</t>
  </si>
  <si>
    <t>5. RMHA YOUTH 12-17 SHOW PLEASURE</t>
  </si>
  <si>
    <t>12. RMHA COUNTRY TRAIL PLEASURE MARES &amp; GELDINGS</t>
  </si>
  <si>
    <t>Becki Brown</t>
  </si>
  <si>
    <t>WOF Glamour &amp; Style</t>
  </si>
  <si>
    <t>Olivia Warner</t>
  </si>
  <si>
    <t>Mary Kelley Tucker</t>
  </si>
  <si>
    <t>15. RMHA LADIES TRAIL PLEASURE</t>
  </si>
  <si>
    <t>Julia Tucker</t>
  </si>
  <si>
    <t>WOF's Wind Commander</t>
  </si>
  <si>
    <t>Ann Day</t>
  </si>
  <si>
    <t>31. RMHA AMATEUR COUNTRY TRAIL PLEASURE</t>
  </si>
  <si>
    <t>32. RMHA AOT SHOW PLEASURE</t>
  </si>
  <si>
    <t>13. RMHA NOVICE SHOW PLEASURE</t>
  </si>
  <si>
    <t>14. RMHA AOT COUNTRY TRAIL PLEASURE</t>
  </si>
  <si>
    <t>22. RMHA COUNTRY TRAIL PLEASURE STALLIONS</t>
  </si>
  <si>
    <t>42. RMHA OPEN SHOW PLEASURE CHAMPIONSHIP</t>
  </si>
  <si>
    <t>29. RMHA 3 YEAR OLD COUNTRY TRAIL PLEASURE</t>
  </si>
  <si>
    <t>24. PINK CLASS (ADULT)</t>
  </si>
  <si>
    <t>34. OPEN SHOW/CLASSIC PLEASURE</t>
  </si>
  <si>
    <t>Rider 2 Class</t>
  </si>
  <si>
    <t>Rider bob Class</t>
  </si>
  <si>
    <t>Edit URL</t>
  </si>
  <si>
    <t>DMH's Bella Angel</t>
  </si>
  <si>
    <t>3864 McClure Rd, Winchester, KY, 40391, 859-749-2183, juliatucker@bellsouth.net</t>
  </si>
  <si>
    <t>323 Youngs Mill Rd, Paris, KY, 40361, 859-749-8982, charlied8282@gmail.com</t>
  </si>
  <si>
    <t>2020218-Y</t>
  </si>
  <si>
    <t>33. RMHA YOUTH 12-17 COUNTRY TRAIL</t>
  </si>
  <si>
    <t>22295-P</t>
  </si>
  <si>
    <t>2015327-A</t>
  </si>
  <si>
    <t>17. RMHA COUNTRY TRAIL PLEASURE MARES &amp; GELDINGS</t>
  </si>
  <si>
    <t>37. RMHA AMATEUR COUNTRY TRAIL PLEASURE</t>
  </si>
  <si>
    <t>https://docs.google.com/forms/d/e/1FAIpQLScJD9_4W5NicaLXoKxiwouaTdy1SiNCnghyG68wjykjXYcAsw/viewform?edit2=2_ABaOnufWJgQ3ayVfb4FcE9UyI5yl8CAUMDk5U4OOw-WKOcWyfZelAh-ChE7qq9IIf_6f5vI</t>
  </si>
  <si>
    <t>Steve Heuslein</t>
  </si>
  <si>
    <t>30738 County Rd 1, LaCrescent, MN, 55947, 608-792-5883, sheuslein@gmail.com</t>
  </si>
  <si>
    <t>11984-P</t>
  </si>
  <si>
    <t>36. RMHA TRAIL PLEASURE STALLIONS</t>
  </si>
  <si>
    <t>https://docs.google.com/forms/d/e/1FAIpQLScJD9_4W5NicaLXoKxiwouaTdy1SiNCnghyG68wjykjXYcAsw/viewform?edit2=2_ABaOnueiU5es-ecInxA2CZjm5VXSvNXdHXPw6NAO49i8HCO6IQEa-qeU5b2FY4smmWTrgwY</t>
  </si>
  <si>
    <t>Chicago Blues</t>
  </si>
  <si>
    <t>323 Youngs Mill Rd, Paris, KY, 40361, 859-749-8992, charlied8282@gmail.com</t>
  </si>
  <si>
    <t>13. RMHA TRAIL PLEASURE MARES &amp; GELDINGS</t>
  </si>
  <si>
    <t>https://docs.google.com/forms/d/e/1FAIpQLScJD9_4W5NicaLXoKxiwouaTdy1SiNCnghyG68wjykjXYcAsw/viewform?edit2=2_ABaOnufrQaOHj26-f-eGV1_E5hBUGXbJ1P_XXIg7G3JR0BWrSP93bSPMmhdipfhi9EI3hiI</t>
  </si>
  <si>
    <t>21. RMHA 3 YEAR OLD TRAIL PLEASURE</t>
  </si>
  <si>
    <t>https://docs.google.com/forms/d/e/1FAIpQLScJD9_4W5NicaLXoKxiwouaTdy1SiNCnghyG68wjykjXYcAsw/viewform?edit2=2_ABaOnuepYQBYe4n9MZH3ZDbWI4K6bbMGZTMJYMDtCz-gK_t7BI5Z84B0lF8XB0kiEEViCXc</t>
  </si>
  <si>
    <t>Melisse Sharley</t>
  </si>
  <si>
    <t>10419 Corning St., Fishers, IN, 46038, 317-446-9909, melissemonster@yahoo.com</t>
  </si>
  <si>
    <t>Charlie &amp; Ruby DeAtley</t>
  </si>
  <si>
    <t>323 Youngs Mill Rd, Paris, KY 40361, 859-749-8982, charlied8282@gmail.com</t>
  </si>
  <si>
    <t>8. RMHA SHOW PLEASURE MARES &amp; GELDINGS</t>
  </si>
  <si>
    <t>11984-Y</t>
  </si>
  <si>
    <t>2016121-A</t>
  </si>
  <si>
    <t>10. RMHA YOUTH 12-17 SHOW PLEASURE</t>
  </si>
  <si>
    <t>25. RMHA AMATEUR SHOW PLEASURE</t>
  </si>
  <si>
    <t>https://docs.google.com/forms/d/e/1FAIpQLScJD9_4W5NicaLXoKxiwouaTdy1SiNCnghyG68wjykjXYcAsw/viewform?edit2=2_ABaOnuerRFQKXkufWicoN4PPEcx9prs2EOA6IJLBeNr6oK3VUiJsMqlvzUgGXx19tqCUXys</t>
  </si>
  <si>
    <t>Red River Diamond</t>
  </si>
  <si>
    <t>https://docs.google.com/forms/d/e/1FAIpQLScJD9_4W5NicaLXoKxiwouaTdy1SiNCnghyG68wjykjXYcAsw/viewform?edit2=2_ABaOnudUFkL9MxGVpiGtl30eUofLmhs5xrsLbqyWQTBprkGBOYPPtgJMOJ0o7oeCPMCuNv4</t>
  </si>
  <si>
    <t>1955 Thacher's Mill, Paris, KY, 40361, 859-596-1244, mktucker92@gmail.com</t>
  </si>
  <si>
    <t>20. LADIES TRAIL PLEASURE</t>
  </si>
  <si>
    <t>9. RMHA AMATEUR TRAIL PLEASURE</t>
  </si>
  <si>
    <t>https://docs.google.com/forms/d/e/1FAIpQLScJD9_4W5NicaLXoKxiwouaTdy1SiNCnghyG68wjykjXYcAsw/viewform?edit2=2_ABaOnudfr2PKzFRfCCdrKvPxI26Ta0_XHJkgGpB6FYvnQNvmDOp-sZKFnR2dsAsHqrUMmvE</t>
  </si>
  <si>
    <t>PBF's Simon Barjonah</t>
  </si>
  <si>
    <t>16. RMHA SHOW PLEASURE STALLIONS</t>
  </si>
  <si>
    <t>https://docs.google.com/forms/d/e/1FAIpQLScJD9_4W5NicaLXoKxiwouaTdy1SiNCnghyG68wjykjXYcAsw/viewform?edit2=2_ABaOnufLnDulvfb7_4pBtHsyykpUH8sDEZ-diUqj7g6RNbIw0qIbUCN1CPBi-kOWim_shFA</t>
  </si>
  <si>
    <t>3993 E. 226th St, Cicero, IN, 46038, 317-446-9909</t>
  </si>
  <si>
    <t>A</t>
  </si>
  <si>
    <t>9. RMHA AMATEUR TRAIL PLEASURE, 20. LADIES TRAIL PLEASURE</t>
  </si>
  <si>
    <t>https://docs.google.com/forms/d/e/1FAIpQLScJD9_4W5NicaLXoKxiwouaTdy1SiNCnghyG68wjykjXYcAsw/viewform?edit2=2_ABaOnufZtrBy2XcsJWPlg6eGF0dBfS_Vez79U0rx_qoq5tlvrjDfpx8Clgbz1LHxH9KuOaQ</t>
  </si>
  <si>
    <t>603 Goose Creek Rd, Winchester, KY, 40391, 480-332-4755, jabrn76@gmail.com</t>
  </si>
  <si>
    <t>https://docs.google.com/forms/d/e/1FAIpQLScJD9_4W5NicaLXoKxiwouaTdy1SiNCnghyG68wjykjXYcAsw/viewform?edit2=2_ABaOnudypqfMsdPY51ydwqQxIzn6MOfB152-ubb6KE7HTQ6MFJfp0ChPxlNCzEnLutzDNgE</t>
  </si>
  <si>
    <t>FBF Bringing Sexy Back</t>
  </si>
  <si>
    <t>Tiffany Leary</t>
  </si>
  <si>
    <t>P.O. Box 744, Fairview, NC, 28730, 828-333-0041,luckyhorselady3@gmail.com</t>
  </si>
  <si>
    <t>1073 Plumlick Road, Paris, KY, 40361, 859-707-6738, tride999@aol.com</t>
  </si>
  <si>
    <t>2021258-A</t>
  </si>
  <si>
    <t>11. LADIES COUNTRY TRAIL PLEASURE, 17. RMHA COUNTRY TRAIL PLEASURE MARES &amp; GELDINGS, 30. PINK CLASS (ADULT), 37. RMHA AMATEUR COUNTRY TRAIL PLEASURE, 43. RMHA OPEN COUNTRY TRAIL PLEASURE CHAMPIONSHIP</t>
  </si>
  <si>
    <t>https://docs.google.com/forms/d/e/1FAIpQLScJD9_4W5NicaLXoKxiwouaTdy1SiNCnghyG68wjykjXYcAsw/viewform?edit2=2_ABaOnuehrBE6IgDbEYUtxPlWyTnWtFtZzq-xPiAsa5tftVKs5jXlAMmdqDyMl6KPhMWq0CU</t>
  </si>
  <si>
    <t>Curly's Steel Glory</t>
  </si>
  <si>
    <t>3385 Middle Rum Road, Waynesville, OH, 45068, 937-657-6323</t>
  </si>
  <si>
    <t>90469-P</t>
  </si>
  <si>
    <t>22866-A</t>
  </si>
  <si>
    <t>17. RMHA COUNTRY TRAIL PLEASURE MARES &amp; GELDINGS, 37. RMHA AMATEUR COUNTRY TRAIL PLEASURE, 41. OPEN COUNTRY TRAIL PLEASURE, 43. RMHA OPEN COUNTRY TRAIL PLEASURE CHAMPIONSHIP</t>
  </si>
  <si>
    <t>https://docs.google.com/forms/d/e/1FAIpQLScJD9_4W5NicaLXoKxiwouaTdy1SiNCnghyG68wjykjXYcAsw/viewform?edit2=2_ABaOnueuilSi46P6h4rC9WJyZYb-uNsRfS8BNWEfjmV9WP9ZjoXUhYwxz5X4gzZePLnRHlc</t>
  </si>
  <si>
    <t>Pride's Hit the Mark</t>
  </si>
  <si>
    <t>Kevin Monroe</t>
  </si>
  <si>
    <t>1162 10 Street, Portsmouth, OH, 45662, 740-935-5572</t>
  </si>
  <si>
    <t>Ryan Monroe</t>
  </si>
  <si>
    <t>20217240-Y</t>
  </si>
  <si>
    <t>23. RMHA YOUTH 12-17 TRAIL PLEASURE, 42. RMHA YOUTH TRAIL PLEASURE CHAMPIONSHIP</t>
  </si>
  <si>
    <t>https://docs.google.com/forms/d/e/1FAIpQLScJD9_4W5NicaLXoKxiwouaTdy1SiNCnghyG68wjykjXYcAsw/viewform?edit2=2_ABaOnud9Q-aS1U6h4T1gQYW3-FL8-M_uUxPjqnx26vhkFgTdL0nTtxMFL-SUaRLA0Es_4l0</t>
  </si>
  <si>
    <t>603 Goose Creek Rd., Winchester, KY, 40391, 480-332-4755, jabrn67@gmail.com</t>
  </si>
  <si>
    <t>11. LADIES COUNTRY TRAIL PLEASURE</t>
  </si>
  <si>
    <t>Luke Tackett</t>
  </si>
  <si>
    <t>Y</t>
  </si>
  <si>
    <t>17. RMHA COUNTRY TRAIL PLEASURE MARES &amp; GELDINGS, 37. RMHA AMATEUR COUNTRY TRAIL PLEASURE</t>
  </si>
  <si>
    <t>https://docs.google.com/forms/d/e/1FAIpQLScJD9_4W5NicaLXoKxiwouaTdy1SiNCnghyG68wjykjXYcAsw/viewform?edit2=2_ABaOnueIDa9MDpL8VOGF-Pf3c4rWES4_Wyzmu6pzu3IzVX3ioQWjHULowqvLl_E0M-sZHS4</t>
  </si>
  <si>
    <t>Robinson's Turbo</t>
  </si>
  <si>
    <t>Ashley Harrison</t>
  </si>
  <si>
    <t>7640 Hwy 11, Maysville, KY, 41056, 606-560-2722, ashleymays7640@gmail.com</t>
  </si>
  <si>
    <t>20217509-A</t>
  </si>
  <si>
    <t>25. RMHA AMATEUR SHOW PLEASURE, 38. RMHA AOT SHOW PLEASURE</t>
  </si>
  <si>
    <t>https://docs.google.com/forms/d/e/1FAIpQLScJD9_4W5NicaLXoKxiwouaTdy1SiNCnghyG68wjykjXYcAsw/viewform?edit2=2_ABaOnueplyFOlw3yMybKlcPRfywkjlEIJGD4e1shKxYo_AuKtBOVApl3QEH_ZmPJTIGuKXU</t>
  </si>
  <si>
    <t>DNS I'm Taking Charge</t>
  </si>
  <si>
    <t>9. RMHA AMATEUR TRAIL PLEASURE, 31. RMHA AOT TRAIL PLEASURE</t>
  </si>
  <si>
    <t>https://docs.google.com/forms/d/e/1FAIpQLScJD9_4W5NicaLXoKxiwouaTdy1SiNCnghyG68wjykjXYcAsw/viewform?edit2=2_ABaOnucmK-OXmLAt9Q1kZEUgzagxsQjZgNAWxl14gdrhDp5yUZQJ5n45OolGgHCmQq59iLM</t>
  </si>
  <si>
    <t>480 Cash Rd., Parksville, KY, 40464, 859-319-2241, bean_03@gmail.com</t>
  </si>
  <si>
    <t>22-174A</t>
  </si>
  <si>
    <t>11. LADIES COUNTRY TRAIL PLEASURE, 17. RMHA COUNTRY TRAIL PLEASURE MARES &amp; GELDINGS, 19. RMHA AOT COUNTRY TRAIL PLEASURE</t>
  </si>
  <si>
    <t>https://docs.google.com/forms/d/e/1FAIpQLScJD9_4W5NicaLXoKxiwouaTdy1SiNCnghyG68wjykjXYcAsw/viewform?edit2=2_ABaOnudWda3GcMG0qeA4_LQECS-7PYK33--7G-GcxG2hlIqjhzE2QDMjSY9buVwsnwCK2bE</t>
  </si>
  <si>
    <t>Sundown Sierra</t>
  </si>
  <si>
    <t>31761-A</t>
  </si>
  <si>
    <t>https://docs.google.com/forms/d/e/1FAIpQLScJD9_4W5NicaLXoKxiwouaTdy1SiNCnghyG68wjykjXYcAsw/viewform?edit2=2_ABaOnueyFoFhqUD2AkU73G9cVCbfD90vTCqbikOFd5V9HNG3NccOwaX7TDas2ytBDmMkUe0</t>
  </si>
  <si>
    <t>10551 Wales Run, Mt Washington, KY, 40047, 502-599-1311, peggsplace@windstream.net</t>
  </si>
  <si>
    <t>1. RMHA ADULT TRAIL OBSTACLE</t>
  </si>
  <si>
    <t>https://docs.google.com/forms/d/e/1FAIpQLScJD9_4W5NicaLXoKxiwouaTdy1SiNCnghyG68wjykjXYcAsw/viewform?edit2=2_ABaOnucMQ5DRK05ntMEdsbFRb5RafWZ3d06kxFyZL2oE2Jf8-hbrGfwP9G9xANsJeOM98_4</t>
  </si>
  <si>
    <t>000</t>
  </si>
  <si>
    <t>coryf</t>
  </si>
  <si>
    <t>asdfadfs</t>
  </si>
  <si>
    <t>asdfds</t>
  </si>
  <si>
    <t>asdfasdf</t>
  </si>
  <si>
    <t>sdfasdf</t>
  </si>
  <si>
    <t>asdfadsf</t>
  </si>
  <si>
    <t>adsf</t>
  </si>
  <si>
    <t>bob</t>
  </si>
  <si>
    <t>asdf</t>
  </si>
  <si>
    <t>test rider</t>
  </si>
  <si>
    <t>12. RMHA 3 YEAR OLD SHOW PLEASURE, test class</t>
  </si>
  <si>
    <t>https://docs.google.com/forms/d/e/1FAIpQLScJD9_4W5NicaLXoKxiwouaTdy1SiNCnghyG68wjykjXYcAsw/viewform?edit2=2_ABaOnudNkIrh-CWCmTyK0LTOLr31r7DceeEdx-_X-QtZJ8QEX-STDbMbjgjwOy4aYSEKA7I</t>
  </si>
  <si>
    <t>Rider</t>
  </si>
  <si>
    <t>Place</t>
  </si>
  <si>
    <t>1st</t>
  </si>
  <si>
    <t>2nd</t>
  </si>
  <si>
    <t>3rd</t>
  </si>
  <si>
    <t>Jessica Brewer</t>
  </si>
  <si>
    <r>
      <t>2. JUVENILE</t>
    </r>
    <r>
      <rPr>
        <b/>
        <sz val="18"/>
        <color theme="1"/>
        <rFont val="Arial"/>
        <scheme val="minor"/>
      </rPr>
      <t xml:space="preserve"> PLEASURE (NO STALLIONS)</t>
    </r>
  </si>
  <si>
    <r>
      <rPr>
        <b/>
        <sz val="18"/>
        <color theme="1"/>
        <rFont val="Arial"/>
        <family val="2"/>
        <scheme val="minor"/>
      </rPr>
      <t xml:space="preserve">3. RMHA SHOW </t>
    </r>
    <r>
      <rPr>
        <b/>
        <sz val="18"/>
        <color theme="1"/>
        <rFont val="Arial"/>
        <scheme val="minor"/>
      </rPr>
      <t>PLEASURE MARES &amp; GELDINGS</t>
    </r>
  </si>
  <si>
    <t>7. RMHA 3 YR OLD SHOW PLEASURE</t>
  </si>
  <si>
    <r>
      <rPr>
        <b/>
        <sz val="18"/>
        <color theme="1"/>
        <rFont val="Arial"/>
        <family val="2"/>
        <scheme val="minor"/>
      </rPr>
      <t>8. RMHA TRAIL PLEASURE MA</t>
    </r>
    <r>
      <rPr>
        <b/>
        <sz val="18"/>
        <color theme="1"/>
        <rFont val="Arial"/>
        <scheme val="minor"/>
      </rPr>
      <t>RES &amp; GELDINGS</t>
    </r>
  </si>
  <si>
    <t>10. RMHA 11 AND UNDER TRAIL PLEASURE</t>
  </si>
  <si>
    <t>16. RMHA 3 YR OLD TRAIL PLEASURE</t>
  </si>
  <si>
    <t>17. RMHA 11 AND UNDER SHOW PLEASURE</t>
  </si>
  <si>
    <t>21. RMHA 11 AND UNDER COUNTRY TRAIL PLEASURE</t>
  </si>
  <si>
    <t>23. PINK CLASS (17 AND UNDER)</t>
  </si>
  <si>
    <t>27. RMHA YOUTH 12-27 COUNTRY TRAIL PLEASURE</t>
  </si>
  <si>
    <t>28. RMHA NOVICE TRAIL PLEASURE</t>
  </si>
  <si>
    <t>33. OPEN TRAIL PLEASURE</t>
  </si>
  <si>
    <t>36. RMHA YOUTH TRAIL PLEASURE CHAMPIONSHIP</t>
  </si>
  <si>
    <t>37. RMHA OPEN COUNTRY TRAIL PLEASURE CHAMPIONSHIP</t>
  </si>
  <si>
    <t>38. RMHA YOUTH SHOW PLEASURE CHAMPIONSHIP</t>
  </si>
  <si>
    <t>39. RMHA OPEN TRAIL PLEASURE CHAMPIONSHIP</t>
  </si>
  <si>
    <t>40. OPEN PLEASURE CHAMPIONSHIP</t>
  </si>
  <si>
    <t>41. RMHA YOUTH COUNTRY TRAIL CHAMPIONSHIP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</si>
</sst>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6" formatCode="&quot;$&quot;#,##0_);[Red]\(&quot;$&quot;#,##0\)"/>
    <numFmt numFmtId="164" formatCode="m/d/yyyy\ h:mm:ss"/>
  </numFmts>
  <fonts count="10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u/>
      <sz val="10"/>
      <color rgb="FF0000FF"/>
      <name val="Arial"/>
    </font>
    <font>
      <u/>
      <sz val="10"/>
      <color rgb="FF0000FF"/>
      <name val="Arial"/>
    </font>
    <font>
      <b/>
      <sz val="18"/>
      <color theme="1"/>
      <name val="Arial"/>
      <scheme val="minor"/>
    </font>
    <font>
      <b/>
      <sz val="12"/>
      <color theme="1"/>
      <name val="Arial"/>
      <scheme val="minor"/>
    </font>
    <font>
      <b/>
      <sz val="18"/>
      <color theme="1"/>
      <name val="Arial"/>
    </font>
    <font>
      <sz val="14"/>
      <color theme="1"/>
      <name val="Arial"/>
      <scheme val="minor"/>
    </font>
    <font>
      <b/>
      <sz val="18"/>
      <color theme="1"/>
      <name val="Arial"/>
      <family val="2"/>
      <scheme val="minor"/>
    </font>
    <font>
      <b/>
      <sz val="18"/>
      <color rgb="FF000000"/>
      <name val="Arial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rgb="FFFCE5CD"/>
        <bgColor rgb="FFFCE5CD"/>
      </patternFill>
    </fill>
    <fill>
      <patternFill patternType="solid">
        <fgColor rgb="FFD0E0E3"/>
        <bgColor rgb="FFD0E0E3"/>
      </patternFill>
    </fill>
    <fill>
      <patternFill patternType="solid">
        <fgColor rgb="FFF4CCCC"/>
        <bgColor rgb="FFF4CCCC"/>
      </patternFill>
    </fill>
    <fill>
      <patternFill patternType="solid">
        <fgColor rgb="FFC9DAF8"/>
        <bgColor rgb="FFC9DAF8"/>
      </patternFill>
    </fill>
    <fill>
      <patternFill patternType="solid">
        <fgColor rgb="FFD9D2E9"/>
        <bgColor rgb="FFD9D2E9"/>
      </patternFill>
    </fill>
    <fill>
      <patternFill patternType="solid">
        <fgColor rgb="FFE6B8AF"/>
        <bgColor rgb="FFE6B8AF"/>
      </patternFill>
    </fill>
    <fill>
      <patternFill patternType="solid">
        <fgColor rgb="FFB7B7B7"/>
        <bgColor rgb="FFB7B7B7"/>
      </patternFill>
    </fill>
    <fill>
      <patternFill patternType="solid">
        <fgColor rgb="FFEAD1DC"/>
        <bgColor rgb="FFEAD1DC"/>
      </patternFill>
    </fill>
    <fill>
      <patternFill patternType="solid">
        <fgColor theme="0"/>
        <bgColor theme="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2" borderId="0" xfId="0" applyFont="1" applyFill="1"/>
    <xf numFmtId="164" fontId="1" fillId="0" borderId="0" xfId="0" applyNumberFormat="1" applyFont="1"/>
    <xf numFmtId="0" fontId="2" fillId="0" borderId="0" xfId="0" applyFont="1"/>
    <xf numFmtId="0" fontId="1" fillId="0" borderId="0" xfId="0" applyFont="1" applyAlignment="1">
      <alignment horizontal="right"/>
    </xf>
    <xf numFmtId="0" fontId="1" fillId="0" borderId="0" xfId="0" quotePrefix="1" applyFont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0" fontId="1" fillId="8" borderId="0" xfId="0" applyFont="1" applyFill="1"/>
    <xf numFmtId="0" fontId="1" fillId="9" borderId="0" xfId="0" applyFont="1" applyFill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left"/>
    </xf>
    <xf numFmtId="0" fontId="4" fillId="10" borderId="0" xfId="0" applyFont="1" applyFill="1" applyAlignment="1">
      <alignment horizontal="left"/>
    </xf>
    <xf numFmtId="0" fontId="4" fillId="10" borderId="0" xfId="0" applyFont="1" applyFill="1"/>
    <xf numFmtId="0" fontId="5" fillId="0" borderId="0" xfId="0" applyFont="1" applyAlignment="1">
      <alignment horizontal="left"/>
    </xf>
    <xf numFmtId="0" fontId="5" fillId="0" borderId="0" xfId="0" applyFont="1"/>
    <xf numFmtId="0" fontId="4" fillId="11" borderId="0" xfId="0" applyFont="1" applyFill="1"/>
    <xf numFmtId="0" fontId="6" fillId="10" borderId="0" xfId="0" applyFont="1" applyFill="1" applyAlignment="1">
      <alignment horizontal="left"/>
    </xf>
    <xf numFmtId="0" fontId="6" fillId="10" borderId="0" xfId="0" applyFont="1" applyFill="1"/>
    <xf numFmtId="0" fontId="7" fillId="0" borderId="0" xfId="0" applyFont="1" applyAlignment="1">
      <alignment horizontal="left"/>
    </xf>
    <xf numFmtId="0" fontId="7" fillId="0" borderId="0" xfId="0" applyFont="1"/>
    <xf numFmtId="0" fontId="4" fillId="12" borderId="0" xfId="0" applyFont="1" applyFill="1" applyAlignment="1">
      <alignment horizontal="left"/>
    </xf>
    <xf numFmtId="0" fontId="7" fillId="12" borderId="0" xfId="0" applyFont="1" applyFill="1"/>
    <xf numFmtId="0" fontId="7" fillId="0" borderId="0" xfId="0" applyFont="1" applyAlignment="1">
      <alignment horizontal="right"/>
    </xf>
    <xf numFmtId="6" fontId="7" fillId="0" borderId="0" xfId="0" applyNumberFormat="1" applyFont="1"/>
    <xf numFmtId="0" fontId="8" fillId="11" borderId="0" xfId="0" applyFont="1" applyFill="1"/>
    <xf numFmtId="0" fontId="9" fillId="11" borderId="0" xfId="0" applyFont="1" applyFill="1"/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Registration-orig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S111">
  <tableColumns count="19">
    <tableColumn id="1" xr3:uid="{00000000-0010-0000-0000-000001000000}" name="Timestamp"/>
    <tableColumn id="2" xr3:uid="{00000000-0010-0000-0000-000002000000}" name="Back Number"/>
    <tableColumn id="3" xr3:uid="{00000000-0010-0000-0000-000003000000}" name="Horse Name"/>
    <tableColumn id="4" xr3:uid="{00000000-0010-0000-0000-000004000000}" name="Horse RMHA Number"/>
    <tableColumn id="5" xr3:uid="{00000000-0010-0000-0000-000005000000}" name="Horse Sex"/>
    <tableColumn id="6" xr3:uid="{00000000-0010-0000-0000-000006000000}" name="Year Foaled"/>
    <tableColumn id="7" xr3:uid="{00000000-0010-0000-0000-000007000000}" name="RMHA Certified"/>
    <tableColumn id="8" xr3:uid="{00000000-0010-0000-0000-000008000000}" name="Juvenile Riders"/>
    <tableColumn id="9" xr3:uid="{00000000-0010-0000-0000-000009000000}" name="Owner"/>
    <tableColumn id="10" xr3:uid="{00000000-0010-0000-0000-00000A000000}" name="Owner RMHA Number"/>
    <tableColumn id="11" xr3:uid="{00000000-0010-0000-0000-00000B000000}" name="Owner Address, City, State, Zip, Phone, Email"/>
    <tableColumn id="12" xr3:uid="{00000000-0010-0000-0000-00000C000000}" name="Trainer"/>
    <tableColumn id="13" xr3:uid="{00000000-0010-0000-0000-00000D000000}" name="Trainer RMHA Number"/>
    <tableColumn id="14" xr3:uid="{00000000-0010-0000-0000-00000E000000}" name="Trainer Exhibitor Number"/>
    <tableColumn id="15" xr3:uid="{00000000-0010-0000-0000-00000F000000}" name="Trainer Address, City, State, Zip, Phone, Email"/>
    <tableColumn id="16" xr3:uid="{00000000-0010-0000-0000-000010000000}" name="Rider 1 Name"/>
    <tableColumn id="17" xr3:uid="{00000000-0010-0000-0000-000011000000}" name="Exhibitor No - CL"/>
    <tableColumn id="18" xr3:uid="{00000000-0010-0000-0000-000012000000}" name="Juvenile Rider"/>
    <tableColumn id="19" xr3:uid="{00000000-0010-0000-0000-000013000000}" name="Rider 1 Classes"/>
  </tableColumns>
  <tableStyleInfo name="Registration-orig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docs.google.com/forms/d/e/1FAIpQLScJD9_4W5NicaLXoKxiwouaTdy1SiNCnghyG68wjykjXYcAsw/viewform?edit2=2_ABaOnudfr2PKzFRfCCdrKvPxI26Ta0_XHJkgGpB6FYvnQNvmDOp-sZKFnR2dsAsHqrUMmvE" TargetMode="External"/><Relationship Id="rId18" Type="http://schemas.openxmlformats.org/officeDocument/2006/relationships/hyperlink" Target="https://docs.google.com/forms/d/e/1FAIpQLScJD9_4W5NicaLXoKxiwouaTdy1SiNCnghyG68wjykjXYcAsw/viewform?edit2=2_ABaOnufZtrBy2XcsJWPlg6eGF0dBfS_Vez79U0rx_qoq5tlvrjDfpx8Clgbz1LHxH9KuOaQ" TargetMode="External"/><Relationship Id="rId26" Type="http://schemas.openxmlformats.org/officeDocument/2006/relationships/hyperlink" Target="https://docs.google.com/forms/d/e/1FAIpQLScJD9_4W5NicaLXoKxiwouaTdy1SiNCnghyG68wjykjXYcAsw/viewform?edit2=2_ABaOnud9Q-aS1U6h4T1gQYW3-FL8-M_uUxPjqnx26vhkFgTdL0nTtxMFL-SUaRLA0Es_4l0" TargetMode="External"/><Relationship Id="rId39" Type="http://schemas.openxmlformats.org/officeDocument/2006/relationships/hyperlink" Target="https://docs.google.com/forms/d/e/1FAIpQLScJD9_4W5NicaLXoKxiwouaTdy1SiNCnghyG68wjykjXYcAsw/viewform?edit2=2_ABaOnudNkIrh-CWCmTyK0LTOLr31r7DceeEdx-_X-QtZJ8QEX-STDbMbjgjwOy4aYSEKA7I" TargetMode="External"/><Relationship Id="rId21" Type="http://schemas.openxmlformats.org/officeDocument/2006/relationships/hyperlink" Target="https://docs.google.com/forms/d/e/1FAIpQLScJD9_4W5NicaLXoKxiwouaTdy1SiNCnghyG68wjykjXYcAsw/viewform?edit2=2_ABaOnuehrBE6IgDbEYUtxPlWyTnWtFtZzq-xPiAsa5tftVKs5jXlAMmdqDyMl6KPhMWq0CU" TargetMode="External"/><Relationship Id="rId34" Type="http://schemas.openxmlformats.org/officeDocument/2006/relationships/hyperlink" Target="https://docs.google.com/forms/d/e/1FAIpQLScJD9_4W5NicaLXoKxiwouaTdy1SiNCnghyG68wjykjXYcAsw/viewform?edit2=2_ABaOnudWda3GcMG0qeA4_LQECS-7PYK33--7G-GcxG2hlIqjhzE2QDMjSY9buVwsnwCK2bE" TargetMode="External"/><Relationship Id="rId42" Type="http://schemas.openxmlformats.org/officeDocument/2006/relationships/comments" Target="../comments1.xml"/><Relationship Id="rId7" Type="http://schemas.openxmlformats.org/officeDocument/2006/relationships/hyperlink" Target="https://docs.google.com/forms/d/e/1FAIpQLScJD9_4W5NicaLXoKxiwouaTdy1SiNCnghyG68wjykjXYcAsw/viewform?edit2=2_ABaOnuepYQBYe4n9MZH3ZDbWI4K6bbMGZTMJYMDtCz-gK_t7BI5Z84B0lF8XB0kiEEViCXc" TargetMode="External"/><Relationship Id="rId2" Type="http://schemas.openxmlformats.org/officeDocument/2006/relationships/hyperlink" Target="https://docs.google.com/forms/d/e/1FAIpQLScJD9_4W5NicaLXoKxiwouaTdy1SiNCnghyG68wjykjXYcAsw/viewform?edit2=2_ABaOnufWJgQ3ayVfb4FcE9UyI5yl8CAUMDk5U4OOw-WKOcWyfZelAh-ChE7qq9IIf_6f5vI" TargetMode="External"/><Relationship Id="rId16" Type="http://schemas.openxmlformats.org/officeDocument/2006/relationships/hyperlink" Target="https://docs.google.com/forms/d/e/1FAIpQLScJD9_4W5NicaLXoKxiwouaTdy1SiNCnghyG68wjykjXYcAsw/viewform?edit2=2_ABaOnufLnDulvfb7_4pBtHsyykpUH8sDEZ-diUqj7g6RNbIw0qIbUCN1CPBi-kOWim_shFA" TargetMode="External"/><Relationship Id="rId20" Type="http://schemas.openxmlformats.org/officeDocument/2006/relationships/hyperlink" Target="https://docs.google.com/forms/d/e/1FAIpQLScJD9_4W5NicaLXoKxiwouaTdy1SiNCnghyG68wjykjXYcAsw/viewform?edit2=2_ABaOnudypqfMsdPY51ydwqQxIzn6MOfB152-ubb6KE7HTQ6MFJfp0ChPxlNCzEnLutzDNgE" TargetMode="External"/><Relationship Id="rId29" Type="http://schemas.openxmlformats.org/officeDocument/2006/relationships/hyperlink" Target="https://docs.google.com/forms/d/e/1FAIpQLScJD9_4W5NicaLXoKxiwouaTdy1SiNCnghyG68wjykjXYcAsw/viewform?edit2=2_ABaOnueplyFOlw3yMybKlcPRfywkjlEIJGD4e1shKxYo_AuKtBOVApl3QEH_ZmPJTIGuKXU" TargetMode="External"/><Relationship Id="rId41" Type="http://schemas.openxmlformats.org/officeDocument/2006/relationships/table" Target="../tables/table1.xml"/><Relationship Id="rId1" Type="http://schemas.openxmlformats.org/officeDocument/2006/relationships/hyperlink" Target="https://docs.google.com/forms/d/e/1FAIpQLScJD9_4W5NicaLXoKxiwouaTdy1SiNCnghyG68wjykjXYcAsw/viewform?edit2=2_ABaOnufWJgQ3ayVfb4FcE9UyI5yl8CAUMDk5U4OOw-WKOcWyfZelAh-ChE7qq9IIf_6f5vI" TargetMode="External"/><Relationship Id="rId6" Type="http://schemas.openxmlformats.org/officeDocument/2006/relationships/hyperlink" Target="https://docs.google.com/forms/d/e/1FAIpQLScJD9_4W5NicaLXoKxiwouaTdy1SiNCnghyG68wjykjXYcAsw/viewform?edit2=2_ABaOnufrQaOHj26-f-eGV1_E5hBUGXbJ1P_XXIg7G3JR0BWrSP93bSPMmhdipfhi9EI3hiI" TargetMode="External"/><Relationship Id="rId11" Type="http://schemas.openxmlformats.org/officeDocument/2006/relationships/hyperlink" Target="https://docs.google.com/forms/d/e/1FAIpQLScJD9_4W5NicaLXoKxiwouaTdy1SiNCnghyG68wjykjXYcAsw/viewform?edit2=2_ABaOnudUFkL9MxGVpiGtl30eUofLmhs5xrsLbqyWQTBprkGBOYPPtgJMOJ0o7oeCPMCuNv4" TargetMode="External"/><Relationship Id="rId24" Type="http://schemas.openxmlformats.org/officeDocument/2006/relationships/hyperlink" Target="https://docs.google.com/forms/d/e/1FAIpQLScJD9_4W5NicaLXoKxiwouaTdy1SiNCnghyG68wjykjXYcAsw/viewform?edit2=2_ABaOnueuilSi46P6h4rC9WJyZYb-uNsRfS8BNWEfjmV9WP9ZjoXUhYwxz5X4gzZePLnRHlc" TargetMode="External"/><Relationship Id="rId32" Type="http://schemas.openxmlformats.org/officeDocument/2006/relationships/hyperlink" Target="https://docs.google.com/forms/d/e/1FAIpQLScJD9_4W5NicaLXoKxiwouaTdy1SiNCnghyG68wjykjXYcAsw/viewform?edit2=2_ABaOnucmK-OXmLAt9Q1kZEUgzagxsQjZgNAWxl14gdrhDp5yUZQJ5n45OolGgHCmQq59iLM" TargetMode="External"/><Relationship Id="rId37" Type="http://schemas.openxmlformats.org/officeDocument/2006/relationships/hyperlink" Target="https://docs.google.com/forms/d/e/1FAIpQLScJD9_4W5NicaLXoKxiwouaTdy1SiNCnghyG68wjykjXYcAsw/viewform?edit2=2_ABaOnucMQ5DRK05ntMEdsbFRb5RafWZ3d06kxFyZL2oE2Jf8-hbrGfwP9G9xANsJeOM98_4" TargetMode="External"/><Relationship Id="rId40" Type="http://schemas.openxmlformats.org/officeDocument/2006/relationships/vmlDrawing" Target="../drawings/vmlDrawing1.vml"/><Relationship Id="rId5" Type="http://schemas.openxmlformats.org/officeDocument/2006/relationships/hyperlink" Target="https://docs.google.com/forms/d/e/1FAIpQLScJD9_4W5NicaLXoKxiwouaTdy1SiNCnghyG68wjykjXYcAsw/viewform?edit2=2_ABaOnufrQaOHj26-f-eGV1_E5hBUGXbJ1P_XXIg7G3JR0BWrSP93bSPMmhdipfhi9EI3hiI" TargetMode="External"/><Relationship Id="rId15" Type="http://schemas.openxmlformats.org/officeDocument/2006/relationships/hyperlink" Target="https://docs.google.com/forms/d/e/1FAIpQLScJD9_4W5NicaLXoKxiwouaTdy1SiNCnghyG68wjykjXYcAsw/viewform?edit2=2_ABaOnufLnDulvfb7_4pBtHsyykpUH8sDEZ-diUqj7g6RNbIw0qIbUCN1CPBi-kOWim_shFA" TargetMode="External"/><Relationship Id="rId23" Type="http://schemas.openxmlformats.org/officeDocument/2006/relationships/hyperlink" Target="https://docs.google.com/forms/d/e/1FAIpQLScJD9_4W5NicaLXoKxiwouaTdy1SiNCnghyG68wjykjXYcAsw/viewform?edit2=2_ABaOnueuilSi46P6h4rC9WJyZYb-uNsRfS8BNWEfjmV9WP9ZjoXUhYwxz5X4gzZePLnRHlc" TargetMode="External"/><Relationship Id="rId28" Type="http://schemas.openxmlformats.org/officeDocument/2006/relationships/hyperlink" Target="https://docs.google.com/forms/d/e/1FAIpQLScJD9_4W5NicaLXoKxiwouaTdy1SiNCnghyG68wjykjXYcAsw/viewform?edit2=2_ABaOnueIDa9MDpL8VOGF-Pf3c4rWES4_Wyzmu6pzu3IzVX3ioQWjHULowqvLl_E0M-sZHS4" TargetMode="External"/><Relationship Id="rId36" Type="http://schemas.openxmlformats.org/officeDocument/2006/relationships/hyperlink" Target="https://docs.google.com/forms/d/e/1FAIpQLScJD9_4W5NicaLXoKxiwouaTdy1SiNCnghyG68wjykjXYcAsw/viewform?edit2=2_ABaOnueyFoFhqUD2AkU73G9cVCbfD90vTCqbikOFd5V9HNG3NccOwaX7TDas2ytBDmMkUe0" TargetMode="External"/><Relationship Id="rId10" Type="http://schemas.openxmlformats.org/officeDocument/2006/relationships/hyperlink" Target="https://docs.google.com/forms/d/e/1FAIpQLScJD9_4W5NicaLXoKxiwouaTdy1SiNCnghyG68wjykjXYcAsw/viewform?edit2=2_ABaOnuerRFQKXkufWicoN4PPEcx9prs2EOA6IJLBeNr6oK3VUiJsMqlvzUgGXx19tqCUXys" TargetMode="External"/><Relationship Id="rId19" Type="http://schemas.openxmlformats.org/officeDocument/2006/relationships/hyperlink" Target="https://docs.google.com/forms/d/e/1FAIpQLScJD9_4W5NicaLXoKxiwouaTdy1SiNCnghyG68wjykjXYcAsw/viewform?edit2=2_ABaOnudypqfMsdPY51ydwqQxIzn6MOfB152-ubb6KE7HTQ6MFJfp0ChPxlNCzEnLutzDNgE" TargetMode="External"/><Relationship Id="rId31" Type="http://schemas.openxmlformats.org/officeDocument/2006/relationships/hyperlink" Target="https://docs.google.com/forms/d/e/1FAIpQLScJD9_4W5NicaLXoKxiwouaTdy1SiNCnghyG68wjykjXYcAsw/viewform?edit2=2_ABaOnucmK-OXmLAt9Q1kZEUgzagxsQjZgNAWxl14gdrhDp5yUZQJ5n45OolGgHCmQq59iLM" TargetMode="External"/><Relationship Id="rId4" Type="http://schemas.openxmlformats.org/officeDocument/2006/relationships/hyperlink" Target="https://docs.google.com/forms/d/e/1FAIpQLScJD9_4W5NicaLXoKxiwouaTdy1SiNCnghyG68wjykjXYcAsw/viewform?edit2=2_ABaOnueiU5es-ecInxA2CZjm5VXSvNXdHXPw6NAO49i8HCO6IQEa-qeU5b2FY4smmWTrgwY" TargetMode="External"/><Relationship Id="rId9" Type="http://schemas.openxmlformats.org/officeDocument/2006/relationships/hyperlink" Target="https://docs.google.com/forms/d/e/1FAIpQLScJD9_4W5NicaLXoKxiwouaTdy1SiNCnghyG68wjykjXYcAsw/viewform?edit2=2_ABaOnuerRFQKXkufWicoN4PPEcx9prs2EOA6IJLBeNr6oK3VUiJsMqlvzUgGXx19tqCUXys" TargetMode="External"/><Relationship Id="rId14" Type="http://schemas.openxmlformats.org/officeDocument/2006/relationships/hyperlink" Target="https://docs.google.com/forms/d/e/1FAIpQLScJD9_4W5NicaLXoKxiwouaTdy1SiNCnghyG68wjykjXYcAsw/viewform?edit2=2_ABaOnudfr2PKzFRfCCdrKvPxI26Ta0_XHJkgGpB6FYvnQNvmDOp-sZKFnR2dsAsHqrUMmvE" TargetMode="External"/><Relationship Id="rId22" Type="http://schemas.openxmlformats.org/officeDocument/2006/relationships/hyperlink" Target="https://docs.google.com/forms/d/e/1FAIpQLScJD9_4W5NicaLXoKxiwouaTdy1SiNCnghyG68wjykjXYcAsw/viewform?edit2=2_ABaOnuehrBE6IgDbEYUtxPlWyTnWtFtZzq-xPiAsa5tftVKs5jXlAMmdqDyMl6KPhMWq0CU" TargetMode="External"/><Relationship Id="rId27" Type="http://schemas.openxmlformats.org/officeDocument/2006/relationships/hyperlink" Target="https://docs.google.com/forms/d/e/1FAIpQLScJD9_4W5NicaLXoKxiwouaTdy1SiNCnghyG68wjykjXYcAsw/viewform?edit2=2_ABaOnueIDa9MDpL8VOGF-Pf3c4rWES4_Wyzmu6pzu3IzVX3ioQWjHULowqvLl_E0M-sZHS4" TargetMode="External"/><Relationship Id="rId30" Type="http://schemas.openxmlformats.org/officeDocument/2006/relationships/hyperlink" Target="https://docs.google.com/forms/d/e/1FAIpQLScJD9_4W5NicaLXoKxiwouaTdy1SiNCnghyG68wjykjXYcAsw/viewform?edit2=2_ABaOnueplyFOlw3yMybKlcPRfywkjlEIJGD4e1shKxYo_AuKtBOVApl3QEH_ZmPJTIGuKXU" TargetMode="External"/><Relationship Id="rId35" Type="http://schemas.openxmlformats.org/officeDocument/2006/relationships/hyperlink" Target="https://docs.google.com/forms/d/e/1FAIpQLScJD9_4W5NicaLXoKxiwouaTdy1SiNCnghyG68wjykjXYcAsw/viewform?edit2=2_ABaOnueyFoFhqUD2AkU73G9cVCbfD90vTCqbikOFd5V9HNG3NccOwaX7TDas2ytBDmMkUe0" TargetMode="External"/><Relationship Id="rId8" Type="http://schemas.openxmlformats.org/officeDocument/2006/relationships/hyperlink" Target="https://docs.google.com/forms/d/e/1FAIpQLScJD9_4W5NicaLXoKxiwouaTdy1SiNCnghyG68wjykjXYcAsw/viewform?edit2=2_ABaOnuepYQBYe4n9MZH3ZDbWI4K6bbMGZTMJYMDtCz-gK_t7BI5Z84B0lF8XB0kiEEViCXc" TargetMode="External"/><Relationship Id="rId3" Type="http://schemas.openxmlformats.org/officeDocument/2006/relationships/hyperlink" Target="https://docs.google.com/forms/d/e/1FAIpQLScJD9_4W5NicaLXoKxiwouaTdy1SiNCnghyG68wjykjXYcAsw/viewform?edit2=2_ABaOnueiU5es-ecInxA2CZjm5VXSvNXdHXPw6NAO49i8HCO6IQEa-qeU5b2FY4smmWTrgwY" TargetMode="External"/><Relationship Id="rId12" Type="http://schemas.openxmlformats.org/officeDocument/2006/relationships/hyperlink" Target="https://docs.google.com/forms/d/e/1FAIpQLScJD9_4W5NicaLXoKxiwouaTdy1SiNCnghyG68wjykjXYcAsw/viewform?edit2=2_ABaOnudUFkL9MxGVpiGtl30eUofLmhs5xrsLbqyWQTBprkGBOYPPtgJMOJ0o7oeCPMCuNv4" TargetMode="External"/><Relationship Id="rId17" Type="http://schemas.openxmlformats.org/officeDocument/2006/relationships/hyperlink" Target="https://docs.google.com/forms/d/e/1FAIpQLScJD9_4W5NicaLXoKxiwouaTdy1SiNCnghyG68wjykjXYcAsw/viewform?edit2=2_ABaOnufZtrBy2XcsJWPlg6eGF0dBfS_Vez79U0rx_qoq5tlvrjDfpx8Clgbz1LHxH9KuOaQ" TargetMode="External"/><Relationship Id="rId25" Type="http://schemas.openxmlformats.org/officeDocument/2006/relationships/hyperlink" Target="https://docs.google.com/forms/d/e/1FAIpQLScJD9_4W5NicaLXoKxiwouaTdy1SiNCnghyG68wjykjXYcAsw/viewform?edit2=2_ABaOnud9Q-aS1U6h4T1gQYW3-FL8-M_uUxPjqnx26vhkFgTdL0nTtxMFL-SUaRLA0Es_4l0" TargetMode="External"/><Relationship Id="rId33" Type="http://schemas.openxmlformats.org/officeDocument/2006/relationships/hyperlink" Target="https://docs.google.com/forms/d/e/1FAIpQLScJD9_4W5NicaLXoKxiwouaTdy1SiNCnghyG68wjykjXYcAsw/viewform?edit2=2_ABaOnudWda3GcMG0qeA4_LQECS-7PYK33--7G-GcxG2hlIqjhzE2QDMjSY9buVwsnwCK2bE" TargetMode="External"/><Relationship Id="rId38" Type="http://schemas.openxmlformats.org/officeDocument/2006/relationships/hyperlink" Target="https://docs.google.com/forms/d/e/1FAIpQLScJD9_4W5NicaLXoKxiwouaTdy1SiNCnghyG68wjykjXYcAsw/viewform?edit2=2_ABaOnucMQ5DRK05ntMEdsbFRb5RafWZ3d06kxFyZL2oE2Jf8-hbrGfwP9G9xANsJeOM98_4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BB111"/>
  <sheetViews>
    <sheetView workbookViewId="0">
      <pane ySplit="1" topLeftCell="A2" activePane="bottomLeft" state="frozen"/>
      <selection pane="bottomLeft" activeCell="B3" sqref="B3"/>
    </sheetView>
  </sheetViews>
  <sheetFormatPr defaultColWidth="12.5703125" defaultRowHeight="15.75" customHeight="1" x14ac:dyDescent="0.2"/>
  <cols>
    <col min="1" max="1" width="8.5703125" customWidth="1"/>
    <col min="2" max="18" width="18.85546875" customWidth="1"/>
    <col min="19" max="19" width="23.85546875" customWidth="1"/>
    <col min="20" max="20" width="24.28515625" customWidth="1"/>
    <col min="21" max="44" width="18.85546875" customWidth="1"/>
    <col min="45" max="49" width="18.85546875" hidden="1" customWidth="1"/>
    <col min="50" max="50" width="18.85546875" customWidth="1"/>
    <col min="51" max="51" width="34.42578125" customWidth="1"/>
    <col min="52" max="53" width="18.85546875" hidden="1" customWidth="1"/>
    <col min="54" max="56" width="18.85546875" customWidth="1"/>
  </cols>
  <sheetData>
    <row r="1" spans="1:54" ht="15.75" customHeight="1" x14ac:dyDescent="0.2">
      <c r="A1" s="1" t="s">
        <v>0</v>
      </c>
      <c r="B1" s="7" t="s">
        <v>1</v>
      </c>
      <c r="C1" s="8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1" t="s">
        <v>10</v>
      </c>
      <c r="L1" s="9" t="s">
        <v>11</v>
      </c>
      <c r="M1" s="1" t="s">
        <v>12</v>
      </c>
      <c r="N1" s="1" t="s">
        <v>13</v>
      </c>
      <c r="O1" s="1" t="s">
        <v>14</v>
      </c>
      <c r="P1" s="10" t="s">
        <v>15</v>
      </c>
      <c r="Q1" s="10" t="s">
        <v>16</v>
      </c>
      <c r="R1" s="10" t="s">
        <v>17</v>
      </c>
      <c r="S1" s="10" t="s">
        <v>18</v>
      </c>
      <c r="T1" s="1" t="s">
        <v>19</v>
      </c>
      <c r="U1" s="7" t="s">
        <v>20</v>
      </c>
      <c r="V1" s="7" t="s">
        <v>16</v>
      </c>
      <c r="W1" s="7" t="s">
        <v>17</v>
      </c>
      <c r="X1" s="7" t="s">
        <v>21</v>
      </c>
      <c r="Y1" s="1" t="s">
        <v>19</v>
      </c>
      <c r="Z1" s="2" t="s">
        <v>22</v>
      </c>
      <c r="AA1" s="2" t="s">
        <v>16</v>
      </c>
      <c r="AB1" s="2" t="s">
        <v>17</v>
      </c>
      <c r="AC1" s="2" t="s">
        <v>23</v>
      </c>
      <c r="AD1" s="1" t="s">
        <v>19</v>
      </c>
      <c r="AE1" s="11" t="s">
        <v>24</v>
      </c>
      <c r="AF1" s="11" t="s">
        <v>16</v>
      </c>
      <c r="AG1" s="11" t="s">
        <v>17</v>
      </c>
      <c r="AH1" s="11" t="s">
        <v>25</v>
      </c>
      <c r="AI1" s="1" t="s">
        <v>19</v>
      </c>
      <c r="AJ1" s="12" t="s">
        <v>26</v>
      </c>
      <c r="AK1" s="12" t="s">
        <v>16</v>
      </c>
      <c r="AL1" s="12" t="s">
        <v>17</v>
      </c>
      <c r="AM1" s="12" t="s">
        <v>27</v>
      </c>
      <c r="AN1" s="1" t="s">
        <v>19</v>
      </c>
      <c r="AO1" s="13" t="s">
        <v>28</v>
      </c>
      <c r="AP1" s="13" t="s">
        <v>16</v>
      </c>
      <c r="AQ1" s="13" t="s">
        <v>17</v>
      </c>
      <c r="AR1" s="13" t="s">
        <v>29</v>
      </c>
      <c r="AS1" s="1" t="s">
        <v>82</v>
      </c>
      <c r="AT1" s="1" t="s">
        <v>23</v>
      </c>
      <c r="AU1" s="1" t="s">
        <v>25</v>
      </c>
      <c r="AV1" s="1" t="s">
        <v>27</v>
      </c>
      <c r="AW1" s="1" t="s">
        <v>29</v>
      </c>
      <c r="AX1" s="1" t="s">
        <v>83</v>
      </c>
      <c r="AY1" s="12" t="s">
        <v>84</v>
      </c>
      <c r="BB1" s="1">
        <f>COUNTIF('Registration-orig'!B22:B111,BB22)</f>
        <v>0</v>
      </c>
    </row>
    <row r="2" spans="1:54" ht="15.75" customHeight="1" x14ac:dyDescent="0.2">
      <c r="A2" s="3">
        <v>45101.468390243055</v>
      </c>
      <c r="B2" s="1">
        <v>701</v>
      </c>
      <c r="C2" s="1" t="s">
        <v>85</v>
      </c>
      <c r="D2" s="1">
        <v>2016484886</v>
      </c>
      <c r="E2" s="1" t="s">
        <v>30</v>
      </c>
      <c r="F2" s="1">
        <v>2016</v>
      </c>
      <c r="G2" s="1" t="s">
        <v>31</v>
      </c>
      <c r="H2" s="1" t="s">
        <v>31</v>
      </c>
      <c r="I2" s="1" t="s">
        <v>70</v>
      </c>
      <c r="J2" s="1">
        <v>80503</v>
      </c>
      <c r="K2" s="1" t="s">
        <v>86</v>
      </c>
      <c r="L2" s="1" t="s">
        <v>49</v>
      </c>
      <c r="M2" s="1">
        <v>11984</v>
      </c>
      <c r="O2" s="1" t="s">
        <v>87</v>
      </c>
      <c r="P2" s="1" t="s">
        <v>67</v>
      </c>
      <c r="Q2" s="1" t="s">
        <v>88</v>
      </c>
      <c r="R2" s="1" t="s">
        <v>31</v>
      </c>
      <c r="S2" s="1" t="s">
        <v>89</v>
      </c>
      <c r="T2" s="1" t="s">
        <v>31</v>
      </c>
      <c r="U2" s="1" t="s">
        <v>68</v>
      </c>
      <c r="V2" s="1" t="s">
        <v>90</v>
      </c>
      <c r="W2" s="1" t="s">
        <v>32</v>
      </c>
      <c r="Y2" s="1" t="s">
        <v>31</v>
      </c>
      <c r="Z2" s="1" t="s">
        <v>38</v>
      </c>
      <c r="AA2" s="1" t="s">
        <v>91</v>
      </c>
      <c r="AB2" s="1" t="s">
        <v>32</v>
      </c>
      <c r="AD2" s="1" t="s">
        <v>32</v>
      </c>
      <c r="AS2" s="1" t="s">
        <v>92</v>
      </c>
      <c r="AT2" s="1" t="s">
        <v>93</v>
      </c>
      <c r="AX2" s="4" t="s">
        <v>94</v>
      </c>
      <c r="AY2" s="14" t="s">
        <v>94</v>
      </c>
    </row>
    <row r="3" spans="1:54" ht="15.75" customHeight="1" x14ac:dyDescent="0.2">
      <c r="A3" s="3">
        <v>45100.80895298611</v>
      </c>
      <c r="B3" s="1">
        <v>66</v>
      </c>
      <c r="C3" s="1" t="s">
        <v>48</v>
      </c>
      <c r="D3" s="1">
        <v>2020486414</v>
      </c>
      <c r="E3" s="1" t="s">
        <v>34</v>
      </c>
      <c r="F3" s="1">
        <v>2017</v>
      </c>
      <c r="G3" s="1" t="s">
        <v>31</v>
      </c>
      <c r="H3" s="1" t="s">
        <v>32</v>
      </c>
      <c r="I3" s="1" t="s">
        <v>95</v>
      </c>
      <c r="J3" s="1">
        <v>31761</v>
      </c>
      <c r="K3" s="1" t="s">
        <v>96</v>
      </c>
      <c r="L3" s="1" t="s">
        <v>49</v>
      </c>
      <c r="M3" s="1">
        <v>31761</v>
      </c>
      <c r="O3" s="1" t="s">
        <v>87</v>
      </c>
      <c r="P3" s="1" t="s">
        <v>49</v>
      </c>
      <c r="Q3" s="1" t="s">
        <v>97</v>
      </c>
      <c r="R3" s="1" t="s">
        <v>32</v>
      </c>
      <c r="S3" s="1" t="s">
        <v>98</v>
      </c>
      <c r="T3" s="1" t="s">
        <v>32</v>
      </c>
      <c r="AX3" s="4" t="s">
        <v>99</v>
      </c>
      <c r="AY3" s="14" t="s">
        <v>99</v>
      </c>
    </row>
    <row r="4" spans="1:54" ht="15.75" customHeight="1" x14ac:dyDescent="0.2">
      <c r="A4" s="3">
        <v>45100.80923324074</v>
      </c>
      <c r="B4" s="1">
        <v>813</v>
      </c>
      <c r="C4" s="1" t="s">
        <v>100</v>
      </c>
      <c r="D4" s="1">
        <v>2019485987</v>
      </c>
      <c r="E4" s="1" t="s">
        <v>30</v>
      </c>
      <c r="F4" s="1">
        <v>2019</v>
      </c>
      <c r="G4" s="1" t="s">
        <v>31</v>
      </c>
      <c r="H4" s="1" t="s">
        <v>32</v>
      </c>
      <c r="I4" s="1" t="s">
        <v>95</v>
      </c>
      <c r="J4" s="1">
        <v>31761</v>
      </c>
      <c r="K4" s="1" t="s">
        <v>96</v>
      </c>
      <c r="L4" s="1" t="s">
        <v>49</v>
      </c>
      <c r="M4" s="1">
        <v>11984</v>
      </c>
      <c r="O4" s="1" t="s">
        <v>101</v>
      </c>
      <c r="P4" s="1" t="s">
        <v>49</v>
      </c>
      <c r="Q4" s="1" t="s">
        <v>97</v>
      </c>
      <c r="R4" s="1" t="s">
        <v>32</v>
      </c>
      <c r="S4" s="1" t="s">
        <v>102</v>
      </c>
      <c r="T4" s="1" t="s">
        <v>32</v>
      </c>
      <c r="AX4" s="4" t="s">
        <v>103</v>
      </c>
      <c r="AY4" s="14" t="s">
        <v>103</v>
      </c>
    </row>
    <row r="5" spans="1:54" ht="15.75" customHeight="1" x14ac:dyDescent="0.2">
      <c r="A5" s="3">
        <v>45100.809483275458</v>
      </c>
      <c r="B5" s="1">
        <v>816</v>
      </c>
      <c r="C5" s="1" t="s">
        <v>50</v>
      </c>
      <c r="D5" s="1">
        <v>2020486685</v>
      </c>
      <c r="E5" s="1" t="s">
        <v>30</v>
      </c>
      <c r="F5" s="1">
        <v>2020</v>
      </c>
      <c r="G5" s="1" t="s">
        <v>31</v>
      </c>
      <c r="H5" s="1" t="s">
        <v>32</v>
      </c>
      <c r="I5" s="1" t="s">
        <v>95</v>
      </c>
      <c r="J5" s="1">
        <v>31761</v>
      </c>
      <c r="K5" s="1" t="s">
        <v>96</v>
      </c>
      <c r="L5" s="1" t="s">
        <v>49</v>
      </c>
      <c r="M5" s="1">
        <v>11984</v>
      </c>
      <c r="O5" s="1" t="s">
        <v>87</v>
      </c>
      <c r="P5" s="1" t="s">
        <v>49</v>
      </c>
      <c r="Q5" s="1" t="s">
        <v>97</v>
      </c>
      <c r="R5" s="1" t="s">
        <v>32</v>
      </c>
      <c r="S5" s="1" t="s">
        <v>104</v>
      </c>
      <c r="T5" s="1" t="s">
        <v>32</v>
      </c>
      <c r="AX5" s="4" t="s">
        <v>105</v>
      </c>
      <c r="AY5" s="14" t="s">
        <v>105</v>
      </c>
    </row>
    <row r="6" spans="1:54" ht="15.75" customHeight="1" x14ac:dyDescent="0.2">
      <c r="A6" s="3">
        <v>45100.443032233801</v>
      </c>
      <c r="B6" s="1">
        <v>700</v>
      </c>
      <c r="C6" s="1" t="s">
        <v>61</v>
      </c>
      <c r="D6" s="1">
        <v>2017485215</v>
      </c>
      <c r="E6" s="1" t="s">
        <v>33</v>
      </c>
      <c r="F6" s="1">
        <v>2015</v>
      </c>
      <c r="G6" s="1" t="s">
        <v>31</v>
      </c>
      <c r="H6" s="1" t="s">
        <v>31</v>
      </c>
      <c r="I6" s="1" t="s">
        <v>106</v>
      </c>
      <c r="J6" s="1">
        <v>202019</v>
      </c>
      <c r="K6" s="1" t="s">
        <v>107</v>
      </c>
      <c r="L6" s="1" t="s">
        <v>108</v>
      </c>
      <c r="M6" s="1">
        <v>11984</v>
      </c>
      <c r="O6" s="1" t="s">
        <v>109</v>
      </c>
      <c r="P6" s="1" t="s">
        <v>49</v>
      </c>
      <c r="Q6" s="1" t="s">
        <v>97</v>
      </c>
      <c r="R6" s="1" t="s">
        <v>32</v>
      </c>
      <c r="S6" s="1" t="s">
        <v>110</v>
      </c>
      <c r="T6" s="1" t="s">
        <v>31</v>
      </c>
      <c r="U6" s="1" t="s">
        <v>62</v>
      </c>
      <c r="V6" s="1" t="s">
        <v>111</v>
      </c>
      <c r="W6" s="1" t="s">
        <v>31</v>
      </c>
      <c r="Y6" s="1" t="s">
        <v>31</v>
      </c>
      <c r="Z6" s="1" t="s">
        <v>38</v>
      </c>
      <c r="AA6" s="1" t="s">
        <v>112</v>
      </c>
      <c r="AB6" s="1" t="s">
        <v>32</v>
      </c>
      <c r="AD6" s="1" t="s">
        <v>32</v>
      </c>
      <c r="AS6" s="1" t="s">
        <v>113</v>
      </c>
      <c r="AT6" s="1" t="s">
        <v>114</v>
      </c>
      <c r="AX6" s="4" t="s">
        <v>115</v>
      </c>
      <c r="AY6" s="14" t="s">
        <v>115</v>
      </c>
    </row>
    <row r="7" spans="1:54" ht="15.75" customHeight="1" x14ac:dyDescent="0.2">
      <c r="A7" s="3">
        <v>45100.445289074079</v>
      </c>
      <c r="B7" s="1">
        <v>375</v>
      </c>
      <c r="C7" s="1" t="s">
        <v>116</v>
      </c>
      <c r="D7" s="1">
        <v>2020486856</v>
      </c>
      <c r="E7" s="1" t="s">
        <v>34</v>
      </c>
      <c r="F7" s="1">
        <v>2018</v>
      </c>
      <c r="G7" s="1" t="s">
        <v>31</v>
      </c>
      <c r="H7" s="1" t="s">
        <v>32</v>
      </c>
      <c r="I7" s="1" t="s">
        <v>70</v>
      </c>
      <c r="J7" s="1">
        <v>80503</v>
      </c>
      <c r="K7" s="1" t="s">
        <v>86</v>
      </c>
      <c r="L7" s="1" t="s">
        <v>49</v>
      </c>
      <c r="M7" s="1">
        <v>11984</v>
      </c>
      <c r="O7" s="1" t="s">
        <v>87</v>
      </c>
      <c r="P7" s="1" t="s">
        <v>68</v>
      </c>
      <c r="Q7" s="1" t="s">
        <v>90</v>
      </c>
      <c r="R7" s="1" t="s">
        <v>32</v>
      </c>
      <c r="S7" s="1" t="s">
        <v>98</v>
      </c>
      <c r="T7" s="1" t="s">
        <v>32</v>
      </c>
      <c r="AX7" s="4" t="s">
        <v>117</v>
      </c>
      <c r="AY7" s="14" t="s">
        <v>117</v>
      </c>
    </row>
    <row r="8" spans="1:54" ht="15.75" customHeight="1" x14ac:dyDescent="0.2">
      <c r="A8" s="3">
        <v>45100.447660833335</v>
      </c>
      <c r="B8" s="1">
        <v>702</v>
      </c>
      <c r="C8" s="1" t="s">
        <v>66</v>
      </c>
      <c r="D8" s="1">
        <v>2016484462</v>
      </c>
      <c r="E8" s="1" t="s">
        <v>30</v>
      </c>
      <c r="F8" s="1">
        <v>2015</v>
      </c>
      <c r="G8" s="1" t="s">
        <v>31</v>
      </c>
      <c r="H8" s="1" t="s">
        <v>32</v>
      </c>
      <c r="I8" s="1" t="s">
        <v>68</v>
      </c>
      <c r="J8" s="1">
        <v>22295</v>
      </c>
      <c r="K8" s="1" t="s">
        <v>118</v>
      </c>
      <c r="L8" s="1" t="s">
        <v>68</v>
      </c>
      <c r="M8" s="1">
        <v>22295</v>
      </c>
      <c r="O8" s="1" t="s">
        <v>118</v>
      </c>
      <c r="P8" s="1" t="s">
        <v>68</v>
      </c>
      <c r="Q8" s="1" t="s">
        <v>90</v>
      </c>
      <c r="R8" s="1" t="s">
        <v>32</v>
      </c>
      <c r="S8" s="1" t="s">
        <v>119</v>
      </c>
      <c r="T8" s="1" t="s">
        <v>31</v>
      </c>
      <c r="U8" s="1" t="s">
        <v>38</v>
      </c>
      <c r="V8" s="1" t="s">
        <v>112</v>
      </c>
      <c r="W8" s="1" t="s">
        <v>32</v>
      </c>
      <c r="Y8" s="1" t="s">
        <v>32</v>
      </c>
      <c r="AS8" s="1" t="s">
        <v>120</v>
      </c>
      <c r="AX8" s="4" t="s">
        <v>121</v>
      </c>
      <c r="AY8" s="14" t="s">
        <v>121</v>
      </c>
    </row>
    <row r="9" spans="1:54" ht="15.75" customHeight="1" x14ac:dyDescent="0.2">
      <c r="A9" s="3">
        <v>45100.808539930556</v>
      </c>
      <c r="B9" s="1">
        <v>814</v>
      </c>
      <c r="C9" s="1" t="s">
        <v>122</v>
      </c>
      <c r="D9" s="1">
        <v>2013045530</v>
      </c>
      <c r="E9" s="1" t="s">
        <v>34</v>
      </c>
      <c r="F9" s="1">
        <v>2013</v>
      </c>
      <c r="G9" s="1" t="s">
        <v>31</v>
      </c>
      <c r="H9" s="1" t="s">
        <v>32</v>
      </c>
      <c r="I9" s="1" t="s">
        <v>95</v>
      </c>
      <c r="J9" s="1">
        <v>31761</v>
      </c>
      <c r="K9" s="1" t="s">
        <v>96</v>
      </c>
      <c r="L9" s="1" t="s">
        <v>49</v>
      </c>
      <c r="M9" s="1">
        <v>11984</v>
      </c>
      <c r="O9" s="1" t="s">
        <v>87</v>
      </c>
      <c r="P9" s="1" t="s">
        <v>49</v>
      </c>
      <c r="Q9" s="1" t="s">
        <v>97</v>
      </c>
      <c r="R9" s="1" t="s">
        <v>32</v>
      </c>
      <c r="S9" s="1" t="s">
        <v>123</v>
      </c>
      <c r="T9" s="1" t="s">
        <v>32</v>
      </c>
      <c r="AX9" s="4" t="s">
        <v>124</v>
      </c>
      <c r="AY9" s="14" t="s">
        <v>124</v>
      </c>
    </row>
    <row r="10" spans="1:54" ht="15.75" customHeight="1" x14ac:dyDescent="0.2">
      <c r="A10" s="3">
        <v>45100.454562916668</v>
      </c>
      <c r="B10" s="1">
        <v>917</v>
      </c>
      <c r="C10" s="1" t="s">
        <v>71</v>
      </c>
      <c r="D10" s="1">
        <v>2012044439</v>
      </c>
      <c r="E10" s="1" t="s">
        <v>33</v>
      </c>
      <c r="F10" s="1">
        <v>2011</v>
      </c>
      <c r="G10" s="1" t="s">
        <v>31</v>
      </c>
      <c r="H10" s="1" t="s">
        <v>32</v>
      </c>
      <c r="I10" s="1" t="s">
        <v>72</v>
      </c>
      <c r="K10" s="1" t="s">
        <v>125</v>
      </c>
      <c r="L10" s="1" t="s">
        <v>49</v>
      </c>
      <c r="M10" s="1">
        <v>11984</v>
      </c>
      <c r="O10" s="1" t="s">
        <v>87</v>
      </c>
      <c r="P10" s="1" t="s">
        <v>72</v>
      </c>
      <c r="Q10" s="1" t="s">
        <v>126</v>
      </c>
      <c r="R10" s="1" t="s">
        <v>32</v>
      </c>
      <c r="S10" s="1" t="s">
        <v>127</v>
      </c>
      <c r="T10" s="1" t="s">
        <v>31</v>
      </c>
      <c r="U10" s="1" t="s">
        <v>68</v>
      </c>
      <c r="V10" s="1" t="s">
        <v>90</v>
      </c>
      <c r="W10" s="1" t="s">
        <v>32</v>
      </c>
      <c r="Y10" s="1" t="s">
        <v>32</v>
      </c>
      <c r="AS10" s="1" t="s">
        <v>102</v>
      </c>
      <c r="AX10" s="4" t="s">
        <v>128</v>
      </c>
      <c r="AY10" s="14" t="s">
        <v>128</v>
      </c>
    </row>
    <row r="11" spans="1:54" ht="15.75" customHeight="1" x14ac:dyDescent="0.2">
      <c r="A11" s="3">
        <v>45100.469217453705</v>
      </c>
      <c r="B11" s="1">
        <v>709</v>
      </c>
      <c r="C11" s="1" t="s">
        <v>35</v>
      </c>
      <c r="D11" s="1">
        <v>2012044922</v>
      </c>
      <c r="E11" s="1" t="s">
        <v>33</v>
      </c>
      <c r="F11" s="1">
        <v>2012</v>
      </c>
      <c r="G11" s="1" t="s">
        <v>31</v>
      </c>
      <c r="H11" s="1" t="s">
        <v>32</v>
      </c>
      <c r="I11" s="1" t="s">
        <v>36</v>
      </c>
      <c r="J11" s="1">
        <v>2015327</v>
      </c>
      <c r="K11" s="1" t="s">
        <v>129</v>
      </c>
      <c r="L11" s="1" t="s">
        <v>49</v>
      </c>
      <c r="M11" s="1">
        <v>11984</v>
      </c>
      <c r="O11" s="1" t="s">
        <v>87</v>
      </c>
      <c r="P11" s="1" t="s">
        <v>68</v>
      </c>
      <c r="Q11" s="1" t="s">
        <v>90</v>
      </c>
      <c r="R11" s="1" t="s">
        <v>32</v>
      </c>
      <c r="S11" s="1" t="s">
        <v>110</v>
      </c>
      <c r="T11" s="1" t="s">
        <v>31</v>
      </c>
      <c r="U11" s="1" t="s">
        <v>36</v>
      </c>
      <c r="V11" s="1" t="s">
        <v>91</v>
      </c>
      <c r="W11" s="1" t="s">
        <v>32</v>
      </c>
      <c r="Y11" s="1" t="s">
        <v>32</v>
      </c>
      <c r="AS11" s="1" t="s">
        <v>114</v>
      </c>
      <c r="AX11" s="4" t="s">
        <v>130</v>
      </c>
      <c r="AY11" s="14" t="s">
        <v>130</v>
      </c>
    </row>
    <row r="12" spans="1:54" ht="15.75" customHeight="1" x14ac:dyDescent="0.2">
      <c r="A12" s="3">
        <v>45100.487239502312</v>
      </c>
      <c r="B12" s="1">
        <v>127</v>
      </c>
      <c r="C12" s="1" t="s">
        <v>131</v>
      </c>
      <c r="D12" s="1">
        <v>2007015629</v>
      </c>
      <c r="E12" s="1" t="s">
        <v>33</v>
      </c>
      <c r="F12" s="1">
        <v>2007</v>
      </c>
      <c r="G12" s="1" t="s">
        <v>31</v>
      </c>
      <c r="H12" s="1" t="s">
        <v>32</v>
      </c>
      <c r="I12" s="1" t="s">
        <v>132</v>
      </c>
      <c r="J12" s="1">
        <v>2021258</v>
      </c>
      <c r="K12" s="1" t="s">
        <v>133</v>
      </c>
      <c r="L12" s="1" t="s">
        <v>44</v>
      </c>
      <c r="M12" s="1">
        <v>90469</v>
      </c>
      <c r="O12" s="1" t="s">
        <v>134</v>
      </c>
      <c r="P12" s="1" t="s">
        <v>132</v>
      </c>
      <c r="Q12" s="1" t="s">
        <v>135</v>
      </c>
      <c r="R12" s="1" t="s">
        <v>32</v>
      </c>
      <c r="S12" s="1" t="s">
        <v>136</v>
      </c>
      <c r="T12" s="1" t="s">
        <v>32</v>
      </c>
      <c r="AX12" s="4" t="s">
        <v>137</v>
      </c>
      <c r="AY12" s="14" t="s">
        <v>137</v>
      </c>
    </row>
    <row r="13" spans="1:54" ht="15.75" customHeight="1" x14ac:dyDescent="0.2">
      <c r="A13" s="3">
        <v>45100.505208136572</v>
      </c>
      <c r="B13" s="1">
        <v>507</v>
      </c>
      <c r="C13" s="1" t="s">
        <v>138</v>
      </c>
      <c r="D13" s="1">
        <v>2014045710</v>
      </c>
      <c r="E13" s="1" t="s">
        <v>30</v>
      </c>
      <c r="F13" s="1">
        <v>2014</v>
      </c>
      <c r="G13" s="1" t="s">
        <v>31</v>
      </c>
      <c r="H13" s="1" t="s">
        <v>32</v>
      </c>
      <c r="I13" s="1" t="s">
        <v>43</v>
      </c>
      <c r="J13" s="1">
        <v>22866</v>
      </c>
      <c r="K13" s="1" t="s">
        <v>139</v>
      </c>
      <c r="L13" s="1" t="s">
        <v>44</v>
      </c>
      <c r="M13" s="1">
        <v>90469</v>
      </c>
      <c r="N13" s="1" t="s">
        <v>140</v>
      </c>
      <c r="O13" s="1" t="s">
        <v>134</v>
      </c>
      <c r="P13" s="1" t="s">
        <v>43</v>
      </c>
      <c r="Q13" s="1" t="s">
        <v>141</v>
      </c>
      <c r="R13" s="1" t="s">
        <v>32</v>
      </c>
      <c r="S13" s="1" t="s">
        <v>142</v>
      </c>
      <c r="T13" s="1" t="s">
        <v>32</v>
      </c>
      <c r="AX13" s="4" t="s">
        <v>143</v>
      </c>
      <c r="AY13" s="14" t="s">
        <v>143</v>
      </c>
    </row>
    <row r="14" spans="1:54" ht="15.75" customHeight="1" x14ac:dyDescent="0.2">
      <c r="A14" s="3">
        <v>45100.508235474539</v>
      </c>
      <c r="B14" s="1">
        <v>515</v>
      </c>
      <c r="C14" s="1" t="s">
        <v>144</v>
      </c>
      <c r="D14" s="1">
        <v>2018485534</v>
      </c>
      <c r="E14" s="1" t="s">
        <v>33</v>
      </c>
      <c r="F14" s="1">
        <v>2017</v>
      </c>
      <c r="G14" s="1" t="s">
        <v>31</v>
      </c>
      <c r="H14" s="1" t="s">
        <v>31</v>
      </c>
      <c r="I14" s="1" t="s">
        <v>145</v>
      </c>
      <c r="J14" s="1">
        <v>20217240</v>
      </c>
      <c r="K14" s="1" t="s">
        <v>146</v>
      </c>
      <c r="L14" s="1" t="s">
        <v>44</v>
      </c>
      <c r="M14" s="1">
        <v>90469</v>
      </c>
      <c r="N14" s="1" t="s">
        <v>140</v>
      </c>
      <c r="O14" s="1" t="s">
        <v>134</v>
      </c>
      <c r="P14" s="1" t="s">
        <v>147</v>
      </c>
      <c r="Q14" s="1" t="s">
        <v>148</v>
      </c>
      <c r="R14" s="1" t="s">
        <v>31</v>
      </c>
      <c r="S14" s="1" t="s">
        <v>149</v>
      </c>
      <c r="T14" s="1" t="s">
        <v>32</v>
      </c>
      <c r="AX14" s="4" t="s">
        <v>150</v>
      </c>
      <c r="AY14" s="14" t="s">
        <v>150</v>
      </c>
    </row>
    <row r="15" spans="1:54" ht="15.75" customHeight="1" x14ac:dyDescent="0.2">
      <c r="A15" s="3">
        <v>45100.512799004631</v>
      </c>
      <c r="B15" s="1">
        <v>811</v>
      </c>
      <c r="C15" s="1" t="s">
        <v>39</v>
      </c>
      <c r="D15" s="1">
        <v>2018485434</v>
      </c>
      <c r="E15" s="1" t="s">
        <v>30</v>
      </c>
      <c r="F15" s="1">
        <v>2016</v>
      </c>
      <c r="G15" s="1" t="s">
        <v>31</v>
      </c>
      <c r="H15" s="1" t="s">
        <v>31</v>
      </c>
      <c r="I15" s="1" t="s">
        <v>36</v>
      </c>
      <c r="J15" s="1">
        <v>2015327</v>
      </c>
      <c r="K15" s="1" t="s">
        <v>151</v>
      </c>
      <c r="P15" s="1" t="s">
        <v>38</v>
      </c>
      <c r="Q15" s="1" t="s">
        <v>112</v>
      </c>
      <c r="R15" s="1" t="s">
        <v>32</v>
      </c>
      <c r="S15" s="1" t="s">
        <v>152</v>
      </c>
      <c r="T15" s="1" t="s">
        <v>31</v>
      </c>
      <c r="U15" s="1" t="s">
        <v>36</v>
      </c>
      <c r="V15" s="1" t="s">
        <v>91</v>
      </c>
      <c r="W15" s="1" t="s">
        <v>32</v>
      </c>
      <c r="Y15" s="1" t="s">
        <v>31</v>
      </c>
      <c r="Z15" s="1" t="s">
        <v>153</v>
      </c>
      <c r="AA15" s="1" t="s">
        <v>154</v>
      </c>
      <c r="AB15" s="1" t="s">
        <v>31</v>
      </c>
      <c r="AD15" s="1" t="s">
        <v>32</v>
      </c>
      <c r="AS15" s="1" t="s">
        <v>155</v>
      </c>
      <c r="AT15" s="1" t="s">
        <v>89</v>
      </c>
      <c r="AX15" s="4" t="s">
        <v>156</v>
      </c>
      <c r="AY15" s="14" t="s">
        <v>156</v>
      </c>
    </row>
    <row r="16" spans="1:54" ht="15.75" customHeight="1" x14ac:dyDescent="0.2">
      <c r="A16" s="3">
        <v>45100.515377476855</v>
      </c>
      <c r="B16" s="1">
        <v>699</v>
      </c>
      <c r="C16" s="1" t="s">
        <v>157</v>
      </c>
      <c r="D16" s="1">
        <v>2016484584</v>
      </c>
      <c r="E16" s="1" t="s">
        <v>34</v>
      </c>
      <c r="F16" s="1">
        <v>2012</v>
      </c>
      <c r="G16" s="1" t="s">
        <v>31</v>
      </c>
      <c r="H16" s="1" t="s">
        <v>32</v>
      </c>
      <c r="I16" s="1" t="s">
        <v>158</v>
      </c>
      <c r="J16" s="1">
        <v>20217509</v>
      </c>
      <c r="K16" s="1" t="s">
        <v>159</v>
      </c>
      <c r="L16" s="1" t="s">
        <v>158</v>
      </c>
      <c r="M16" s="1">
        <v>20217509</v>
      </c>
      <c r="N16" s="1" t="s">
        <v>160</v>
      </c>
      <c r="O16" s="1" t="s">
        <v>159</v>
      </c>
      <c r="P16" s="1" t="s">
        <v>158</v>
      </c>
      <c r="Q16" s="1" t="s">
        <v>160</v>
      </c>
      <c r="R16" s="1" t="s">
        <v>32</v>
      </c>
      <c r="S16" s="1" t="s">
        <v>161</v>
      </c>
      <c r="T16" s="1" t="s">
        <v>32</v>
      </c>
      <c r="AX16" s="4" t="s">
        <v>162</v>
      </c>
      <c r="AY16" s="14" t="s">
        <v>162</v>
      </c>
    </row>
    <row r="17" spans="1:51" ht="15.75" customHeight="1" x14ac:dyDescent="0.2">
      <c r="A17" s="3">
        <v>45100.517490150465</v>
      </c>
      <c r="B17" s="1">
        <v>749</v>
      </c>
      <c r="C17" s="1" t="s">
        <v>163</v>
      </c>
      <c r="D17" s="1">
        <v>2018485634</v>
      </c>
      <c r="E17" s="1" t="s">
        <v>34</v>
      </c>
      <c r="F17" s="1">
        <v>2018</v>
      </c>
      <c r="G17" s="1" t="s">
        <v>31</v>
      </c>
      <c r="H17" s="1" t="s">
        <v>32</v>
      </c>
      <c r="I17" s="1" t="s">
        <v>158</v>
      </c>
      <c r="J17" s="1">
        <v>20217509</v>
      </c>
      <c r="K17" s="1" t="s">
        <v>159</v>
      </c>
      <c r="L17" s="1" t="s">
        <v>158</v>
      </c>
      <c r="M17" s="1">
        <v>20217509</v>
      </c>
      <c r="N17" s="1" t="s">
        <v>160</v>
      </c>
      <c r="O17" s="1" t="s">
        <v>159</v>
      </c>
      <c r="P17" s="1" t="s">
        <v>158</v>
      </c>
      <c r="Q17" s="1" t="s">
        <v>160</v>
      </c>
      <c r="R17" s="1" t="s">
        <v>32</v>
      </c>
      <c r="S17" s="1" t="s">
        <v>164</v>
      </c>
      <c r="T17" s="1" t="s">
        <v>32</v>
      </c>
      <c r="AX17" s="4" t="s">
        <v>165</v>
      </c>
      <c r="AY17" s="14" t="s">
        <v>165</v>
      </c>
    </row>
    <row r="18" spans="1:51" ht="15.75" customHeight="1" x14ac:dyDescent="0.2">
      <c r="A18" s="3">
        <v>45100.520065405093</v>
      </c>
      <c r="B18" s="1">
        <v>412</v>
      </c>
      <c r="C18" s="1" t="s">
        <v>40</v>
      </c>
      <c r="D18" s="1">
        <v>2019486152</v>
      </c>
      <c r="E18" s="1" t="s">
        <v>30</v>
      </c>
      <c r="F18" s="1">
        <v>2019</v>
      </c>
      <c r="G18" s="1" t="s">
        <v>31</v>
      </c>
      <c r="H18" s="1" t="s">
        <v>32</v>
      </c>
      <c r="I18" s="1" t="s">
        <v>41</v>
      </c>
      <c r="J18" s="1">
        <v>22880</v>
      </c>
      <c r="K18" s="1" t="s">
        <v>166</v>
      </c>
      <c r="L18" s="1" t="s">
        <v>41</v>
      </c>
      <c r="M18" s="1">
        <v>22880</v>
      </c>
      <c r="N18" s="1" t="s">
        <v>167</v>
      </c>
      <c r="O18" s="1" t="s">
        <v>166</v>
      </c>
      <c r="P18" s="1" t="s">
        <v>41</v>
      </c>
      <c r="Q18" s="1" t="s">
        <v>167</v>
      </c>
      <c r="R18" s="1" t="s">
        <v>32</v>
      </c>
      <c r="S18" s="1" t="s">
        <v>168</v>
      </c>
      <c r="T18" s="1" t="s">
        <v>32</v>
      </c>
      <c r="AX18" s="4" t="s">
        <v>169</v>
      </c>
      <c r="AY18" s="14" t="s">
        <v>169</v>
      </c>
    </row>
    <row r="19" spans="1:51" ht="15.75" customHeight="1" x14ac:dyDescent="0.2">
      <c r="A19" s="3">
        <v>45100.808084664357</v>
      </c>
      <c r="B19" s="1">
        <v>812</v>
      </c>
      <c r="C19" s="1" t="s">
        <v>170</v>
      </c>
      <c r="D19" s="1">
        <v>2018485592</v>
      </c>
      <c r="E19" s="1" t="s">
        <v>30</v>
      </c>
      <c r="F19" s="1">
        <v>2018</v>
      </c>
      <c r="G19" s="1" t="s">
        <v>31</v>
      </c>
      <c r="H19" s="1" t="s">
        <v>31</v>
      </c>
      <c r="I19" s="1" t="s">
        <v>95</v>
      </c>
      <c r="J19" s="1">
        <v>31761</v>
      </c>
      <c r="K19" s="1" t="s">
        <v>96</v>
      </c>
      <c r="L19" s="1" t="s">
        <v>49</v>
      </c>
      <c r="M19" s="1">
        <v>11984</v>
      </c>
      <c r="O19" s="1" t="s">
        <v>87</v>
      </c>
      <c r="P19" s="1" t="s">
        <v>49</v>
      </c>
      <c r="Q19" s="1" t="s">
        <v>97</v>
      </c>
      <c r="R19" s="1" t="s">
        <v>32</v>
      </c>
      <c r="S19" s="1" t="s">
        <v>92</v>
      </c>
      <c r="T19" s="1" t="s">
        <v>31</v>
      </c>
      <c r="U19" s="1" t="s">
        <v>62</v>
      </c>
      <c r="V19" s="1" t="s">
        <v>111</v>
      </c>
      <c r="W19" s="1" t="s">
        <v>31</v>
      </c>
      <c r="Y19" s="1" t="s">
        <v>31</v>
      </c>
      <c r="Z19" s="1" t="s">
        <v>95</v>
      </c>
      <c r="AA19" s="1" t="s">
        <v>171</v>
      </c>
      <c r="AB19" s="1" t="s">
        <v>32</v>
      </c>
      <c r="AD19" s="1" t="s">
        <v>32</v>
      </c>
      <c r="AS19" s="1" t="s">
        <v>89</v>
      </c>
      <c r="AT19" s="1" t="s">
        <v>93</v>
      </c>
      <c r="AX19" s="4" t="s">
        <v>172</v>
      </c>
      <c r="AY19" s="14" t="s">
        <v>172</v>
      </c>
    </row>
    <row r="20" spans="1:51" ht="15.75" customHeight="1" x14ac:dyDescent="0.2">
      <c r="A20" s="3">
        <v>45101.464138773154</v>
      </c>
      <c r="B20" s="1">
        <v>777</v>
      </c>
      <c r="C20" s="1" t="s">
        <v>45</v>
      </c>
      <c r="D20" s="1">
        <v>2016484716</v>
      </c>
      <c r="E20" s="1" t="s">
        <v>34</v>
      </c>
      <c r="F20" s="1">
        <v>2016</v>
      </c>
      <c r="G20" s="1" t="s">
        <v>31</v>
      </c>
      <c r="H20" s="1" t="s">
        <v>32</v>
      </c>
      <c r="I20" s="1" t="s">
        <v>46</v>
      </c>
      <c r="J20" s="1">
        <v>13243</v>
      </c>
      <c r="K20" s="1" t="s">
        <v>173</v>
      </c>
      <c r="L20" s="1" t="s">
        <v>46</v>
      </c>
      <c r="M20" s="1">
        <v>13243</v>
      </c>
      <c r="O20" s="1" t="s">
        <v>173</v>
      </c>
      <c r="P20" s="1" t="s">
        <v>46</v>
      </c>
      <c r="R20" s="1" t="s">
        <v>32</v>
      </c>
      <c r="S20" s="1" t="s">
        <v>174</v>
      </c>
      <c r="T20" s="1" t="s">
        <v>32</v>
      </c>
      <c r="AX20" s="4" t="s">
        <v>175</v>
      </c>
      <c r="AY20" s="4" t="s">
        <v>175</v>
      </c>
    </row>
    <row r="21" spans="1:51" ht="15.75" customHeight="1" x14ac:dyDescent="0.2">
      <c r="A21" s="3">
        <v>45101.466119918987</v>
      </c>
      <c r="B21" s="6" t="s">
        <v>176</v>
      </c>
      <c r="C21" s="1" t="s">
        <v>177</v>
      </c>
      <c r="D21" s="1">
        <v>23424</v>
      </c>
      <c r="E21" s="1" t="s">
        <v>30</v>
      </c>
      <c r="F21" s="1">
        <v>2019</v>
      </c>
      <c r="G21" s="1" t="s">
        <v>32</v>
      </c>
      <c r="H21" s="1" t="s">
        <v>31</v>
      </c>
      <c r="I21" s="1" t="s">
        <v>178</v>
      </c>
      <c r="J21" s="1" t="s">
        <v>179</v>
      </c>
      <c r="K21" s="1" t="s">
        <v>180</v>
      </c>
      <c r="L21" s="1" t="s">
        <v>181</v>
      </c>
      <c r="M21" s="1" t="s">
        <v>182</v>
      </c>
      <c r="N21" s="1" t="s">
        <v>183</v>
      </c>
      <c r="O21" s="1" t="s">
        <v>182</v>
      </c>
      <c r="P21" s="1" t="s">
        <v>184</v>
      </c>
      <c r="Q21" s="1" t="s">
        <v>185</v>
      </c>
      <c r="R21" s="1" t="s">
        <v>32</v>
      </c>
      <c r="S21" s="1" t="s">
        <v>113</v>
      </c>
      <c r="T21" s="1" t="s">
        <v>31</v>
      </c>
      <c r="U21" s="1" t="s">
        <v>186</v>
      </c>
      <c r="V21" s="1">
        <v>234</v>
      </c>
      <c r="W21" s="1" t="s">
        <v>32</v>
      </c>
      <c r="Y21" s="1" t="s">
        <v>32</v>
      </c>
      <c r="AS21" s="1" t="s">
        <v>187</v>
      </c>
      <c r="AX21" s="1"/>
      <c r="AY21" s="4" t="s">
        <v>188</v>
      </c>
    </row>
    <row r="22" spans="1:51" ht="15.75" customHeight="1" x14ac:dyDescent="0.2">
      <c r="A22" s="1"/>
      <c r="B22" s="7"/>
      <c r="C22" s="8"/>
      <c r="D22" s="1"/>
      <c r="E22" s="1"/>
      <c r="F22" s="1"/>
      <c r="G22" s="1"/>
      <c r="H22" s="1"/>
      <c r="I22" s="1" t="s">
        <v>95</v>
      </c>
      <c r="J22" s="1"/>
      <c r="K22" s="1"/>
      <c r="L22" s="9"/>
      <c r="M22" s="1"/>
      <c r="N22" s="1"/>
      <c r="O22" s="1"/>
      <c r="P22" s="10"/>
      <c r="Q22" s="10"/>
      <c r="R22" s="10"/>
      <c r="S22" s="10"/>
      <c r="U22" s="7"/>
      <c r="V22" s="7"/>
      <c r="W22" s="7"/>
      <c r="X22" s="7"/>
      <c r="Z22" s="2"/>
      <c r="AA22" s="2"/>
      <c r="AB22" s="2"/>
      <c r="AC22" s="2"/>
      <c r="AE22" s="11"/>
      <c r="AF22" s="11"/>
      <c r="AG22" s="11"/>
      <c r="AH22" s="11"/>
      <c r="AJ22" s="12"/>
      <c r="AK22" s="12"/>
      <c r="AL22" s="12"/>
      <c r="AM22" s="12"/>
      <c r="AO22" s="13"/>
      <c r="AP22" s="13"/>
      <c r="AQ22" s="13"/>
      <c r="AR22" s="13"/>
      <c r="AY22" s="12"/>
    </row>
    <row r="23" spans="1:51" ht="15.75" customHeight="1" x14ac:dyDescent="0.2">
      <c r="A23" s="1"/>
      <c r="B23" s="7"/>
      <c r="C23" s="8"/>
      <c r="D23" s="1"/>
      <c r="E23" s="1"/>
      <c r="F23" s="1"/>
      <c r="G23" s="1"/>
      <c r="H23" s="1"/>
      <c r="I23" s="2"/>
      <c r="J23" s="1"/>
      <c r="K23" s="1"/>
      <c r="L23" s="9"/>
      <c r="M23" s="1"/>
      <c r="N23" s="1"/>
      <c r="O23" s="1"/>
      <c r="P23" s="10"/>
      <c r="Q23" s="10"/>
      <c r="R23" s="10"/>
      <c r="S23" s="10"/>
      <c r="U23" s="7"/>
      <c r="V23" s="7"/>
      <c r="W23" s="7"/>
      <c r="X23" s="7"/>
      <c r="Z23" s="2"/>
      <c r="AA23" s="2"/>
      <c r="AB23" s="2"/>
      <c r="AC23" s="2"/>
      <c r="AE23" s="11"/>
      <c r="AF23" s="11"/>
      <c r="AG23" s="11"/>
      <c r="AH23" s="11"/>
      <c r="AJ23" s="12"/>
      <c r="AK23" s="12"/>
      <c r="AL23" s="12"/>
      <c r="AM23" s="12"/>
      <c r="AO23" s="13"/>
      <c r="AP23" s="13"/>
      <c r="AQ23" s="13"/>
      <c r="AR23" s="13"/>
      <c r="AY23" s="12"/>
    </row>
    <row r="24" spans="1:51" ht="15.75" customHeight="1" x14ac:dyDescent="0.2">
      <c r="A24" s="1"/>
      <c r="B24" s="7"/>
      <c r="C24" s="8"/>
      <c r="D24" s="1"/>
      <c r="E24" s="1"/>
      <c r="F24" s="1"/>
      <c r="G24" s="1"/>
      <c r="H24" s="1"/>
      <c r="I24" s="2"/>
      <c r="J24" s="1"/>
      <c r="K24" s="1"/>
      <c r="L24" s="9"/>
      <c r="M24" s="1"/>
      <c r="N24" s="1"/>
      <c r="O24" s="1"/>
      <c r="P24" s="10"/>
      <c r="Q24" s="10"/>
      <c r="R24" s="10"/>
      <c r="S24" s="10"/>
      <c r="U24" s="7"/>
      <c r="V24" s="7"/>
      <c r="W24" s="7"/>
      <c r="X24" s="7"/>
      <c r="Z24" s="2"/>
      <c r="AA24" s="2"/>
      <c r="AB24" s="2"/>
      <c r="AC24" s="2"/>
      <c r="AE24" s="11"/>
      <c r="AF24" s="11"/>
      <c r="AG24" s="11"/>
      <c r="AH24" s="11"/>
      <c r="AJ24" s="12"/>
      <c r="AK24" s="12"/>
      <c r="AL24" s="12"/>
      <c r="AM24" s="12"/>
      <c r="AO24" s="13"/>
      <c r="AP24" s="13"/>
      <c r="AQ24" s="13"/>
      <c r="AR24" s="13"/>
      <c r="AY24" s="12"/>
    </row>
    <row r="25" spans="1:51" ht="15.75" customHeight="1" x14ac:dyDescent="0.2">
      <c r="A25" s="1"/>
      <c r="B25" s="7"/>
      <c r="C25" s="8"/>
      <c r="D25" s="1"/>
      <c r="E25" s="1"/>
      <c r="F25" s="1"/>
      <c r="G25" s="1"/>
      <c r="H25" s="1"/>
      <c r="I25" s="2"/>
      <c r="J25" s="1"/>
      <c r="K25" s="1"/>
      <c r="L25" s="9"/>
      <c r="M25" s="1"/>
      <c r="N25" s="1"/>
      <c r="O25" s="1"/>
      <c r="P25" s="10"/>
      <c r="Q25" s="10"/>
      <c r="R25" s="10"/>
      <c r="S25" s="10"/>
      <c r="U25" s="7"/>
      <c r="V25" s="7"/>
      <c r="W25" s="7"/>
      <c r="X25" s="7"/>
      <c r="Z25" s="2"/>
      <c r="AA25" s="2"/>
      <c r="AB25" s="2"/>
      <c r="AC25" s="2"/>
      <c r="AE25" s="11"/>
      <c r="AF25" s="11"/>
      <c r="AG25" s="11"/>
      <c r="AH25" s="11"/>
      <c r="AJ25" s="12"/>
      <c r="AK25" s="12"/>
      <c r="AL25" s="12"/>
      <c r="AM25" s="12"/>
      <c r="AO25" s="13"/>
      <c r="AP25" s="13"/>
      <c r="AQ25" s="13"/>
      <c r="AR25" s="13"/>
      <c r="AY25" s="12"/>
    </row>
    <row r="26" spans="1:51" ht="15.75" customHeight="1" x14ac:dyDescent="0.2">
      <c r="A26" s="1"/>
      <c r="B26" s="7"/>
      <c r="C26" s="8"/>
      <c r="D26" s="1"/>
      <c r="E26" s="1"/>
      <c r="F26" s="1"/>
      <c r="G26" s="1"/>
      <c r="H26" s="1"/>
      <c r="I26" s="2"/>
      <c r="J26" s="1"/>
      <c r="K26" s="1"/>
      <c r="L26" s="9"/>
      <c r="M26" s="1"/>
      <c r="N26" s="1"/>
      <c r="O26" s="1"/>
      <c r="P26" s="10"/>
      <c r="Q26" s="10"/>
      <c r="R26" s="10"/>
      <c r="S26" s="10"/>
      <c r="U26" s="7"/>
      <c r="V26" s="7"/>
      <c r="W26" s="7"/>
      <c r="X26" s="7"/>
      <c r="Z26" s="2"/>
      <c r="AA26" s="2"/>
      <c r="AB26" s="2"/>
      <c r="AC26" s="2"/>
      <c r="AE26" s="11"/>
      <c r="AF26" s="11"/>
      <c r="AG26" s="11"/>
      <c r="AH26" s="11"/>
      <c r="AJ26" s="12"/>
      <c r="AK26" s="12"/>
      <c r="AL26" s="12"/>
      <c r="AM26" s="12"/>
      <c r="AO26" s="13"/>
      <c r="AP26" s="13"/>
      <c r="AQ26" s="13"/>
      <c r="AR26" s="13"/>
      <c r="AY26" s="12"/>
    </row>
    <row r="27" spans="1:51" ht="15.75" customHeight="1" x14ac:dyDescent="0.2">
      <c r="A27" s="1"/>
      <c r="B27" s="7"/>
      <c r="C27" s="8"/>
      <c r="D27" s="1"/>
      <c r="E27" s="1"/>
      <c r="F27" s="1"/>
      <c r="G27" s="1"/>
      <c r="H27" s="1"/>
      <c r="I27" s="2"/>
      <c r="J27" s="1"/>
      <c r="K27" s="1"/>
      <c r="L27" s="9"/>
      <c r="M27" s="1"/>
      <c r="N27" s="1"/>
      <c r="O27" s="1"/>
      <c r="P27" s="10"/>
      <c r="Q27" s="10"/>
      <c r="R27" s="10"/>
      <c r="S27" s="10"/>
      <c r="U27" s="7"/>
      <c r="V27" s="7"/>
      <c r="W27" s="7"/>
      <c r="X27" s="7"/>
      <c r="Z27" s="2"/>
      <c r="AA27" s="2"/>
      <c r="AB27" s="2"/>
      <c r="AC27" s="2"/>
      <c r="AE27" s="11"/>
      <c r="AF27" s="11"/>
      <c r="AG27" s="11"/>
      <c r="AH27" s="11"/>
      <c r="AJ27" s="12"/>
      <c r="AK27" s="12"/>
      <c r="AL27" s="12"/>
      <c r="AM27" s="12"/>
      <c r="AO27" s="13"/>
      <c r="AP27" s="13"/>
      <c r="AQ27" s="13"/>
      <c r="AR27" s="13"/>
      <c r="AY27" s="12"/>
    </row>
    <row r="28" spans="1:51" ht="15.75" customHeight="1" x14ac:dyDescent="0.2">
      <c r="A28" s="1"/>
      <c r="B28" s="7"/>
      <c r="C28" s="8"/>
      <c r="D28" s="1"/>
      <c r="E28" s="1"/>
      <c r="F28" s="1"/>
      <c r="G28" s="1"/>
      <c r="H28" s="1"/>
      <c r="I28" s="2"/>
      <c r="J28" s="1"/>
      <c r="K28" s="1"/>
      <c r="L28" s="9"/>
      <c r="M28" s="1"/>
      <c r="N28" s="1"/>
      <c r="O28" s="1"/>
      <c r="P28" s="10"/>
      <c r="Q28" s="10"/>
      <c r="R28" s="10"/>
      <c r="S28" s="10"/>
      <c r="U28" s="7"/>
      <c r="V28" s="7"/>
      <c r="W28" s="7"/>
      <c r="X28" s="7"/>
      <c r="Z28" s="2"/>
      <c r="AA28" s="2"/>
      <c r="AB28" s="2"/>
      <c r="AC28" s="2"/>
      <c r="AE28" s="11"/>
      <c r="AF28" s="11"/>
      <c r="AG28" s="11"/>
      <c r="AH28" s="11"/>
      <c r="AJ28" s="12"/>
      <c r="AK28" s="12"/>
      <c r="AL28" s="12"/>
      <c r="AM28" s="12"/>
      <c r="AO28" s="13"/>
      <c r="AP28" s="13"/>
      <c r="AQ28" s="13"/>
      <c r="AR28" s="13"/>
      <c r="AY28" s="12"/>
    </row>
    <row r="29" spans="1:51" ht="15.75" customHeight="1" x14ac:dyDescent="0.2">
      <c r="A29" s="1"/>
      <c r="B29" s="7"/>
      <c r="C29" s="8"/>
      <c r="D29" s="1"/>
      <c r="E29" s="1"/>
      <c r="F29" s="1"/>
      <c r="G29" s="1"/>
      <c r="H29" s="1"/>
      <c r="I29" s="2"/>
      <c r="J29" s="1"/>
      <c r="K29" s="1"/>
      <c r="L29" s="9"/>
      <c r="M29" s="1"/>
      <c r="N29" s="1"/>
      <c r="O29" s="1"/>
      <c r="P29" s="10"/>
      <c r="Q29" s="10"/>
      <c r="R29" s="10"/>
      <c r="S29" s="10"/>
      <c r="U29" s="7"/>
      <c r="V29" s="7"/>
      <c r="W29" s="7"/>
      <c r="X29" s="7"/>
      <c r="Z29" s="2"/>
      <c r="AA29" s="2"/>
      <c r="AB29" s="2"/>
      <c r="AC29" s="2"/>
      <c r="AE29" s="11"/>
      <c r="AF29" s="11"/>
      <c r="AG29" s="11"/>
      <c r="AH29" s="11"/>
      <c r="AJ29" s="12"/>
      <c r="AK29" s="12"/>
      <c r="AL29" s="12"/>
      <c r="AM29" s="12"/>
      <c r="AO29" s="13"/>
      <c r="AP29" s="13"/>
      <c r="AQ29" s="13"/>
      <c r="AR29" s="13"/>
      <c r="AY29" s="12"/>
    </row>
    <row r="30" spans="1:51" ht="15.75" customHeight="1" x14ac:dyDescent="0.2">
      <c r="A30" s="1"/>
      <c r="B30" s="7"/>
      <c r="C30" s="8"/>
      <c r="D30" s="1"/>
      <c r="E30" s="1"/>
      <c r="F30" s="1"/>
      <c r="G30" s="1"/>
      <c r="H30" s="1"/>
      <c r="I30" s="2"/>
      <c r="J30" s="1"/>
      <c r="K30" s="1"/>
      <c r="L30" s="9"/>
      <c r="M30" s="1"/>
      <c r="N30" s="1"/>
      <c r="O30" s="1"/>
      <c r="P30" s="10"/>
      <c r="Q30" s="10"/>
      <c r="R30" s="10"/>
      <c r="S30" s="10"/>
      <c r="U30" s="7"/>
      <c r="V30" s="7"/>
      <c r="W30" s="7"/>
      <c r="X30" s="7"/>
      <c r="Z30" s="2"/>
      <c r="AA30" s="2"/>
      <c r="AB30" s="2"/>
      <c r="AC30" s="2"/>
      <c r="AE30" s="11"/>
      <c r="AF30" s="11"/>
      <c r="AG30" s="11"/>
      <c r="AH30" s="11"/>
      <c r="AJ30" s="12"/>
      <c r="AK30" s="12"/>
      <c r="AL30" s="12"/>
      <c r="AM30" s="12"/>
      <c r="AO30" s="13"/>
      <c r="AP30" s="13"/>
      <c r="AQ30" s="13"/>
      <c r="AR30" s="13"/>
      <c r="AY30" s="12"/>
    </row>
    <row r="31" spans="1:51" ht="15.75" customHeight="1" x14ac:dyDescent="0.2">
      <c r="A31" s="1"/>
      <c r="B31" s="7"/>
      <c r="C31" s="8"/>
      <c r="D31" s="1"/>
      <c r="E31" s="1"/>
      <c r="F31" s="1"/>
      <c r="G31" s="1"/>
      <c r="H31" s="1"/>
      <c r="I31" s="2"/>
      <c r="J31" s="1"/>
      <c r="K31" s="1"/>
      <c r="L31" s="9"/>
      <c r="M31" s="1"/>
      <c r="N31" s="1"/>
      <c r="O31" s="1"/>
      <c r="P31" s="10"/>
      <c r="Q31" s="10"/>
      <c r="R31" s="10"/>
      <c r="S31" s="10"/>
      <c r="U31" s="7"/>
      <c r="V31" s="7"/>
      <c r="W31" s="7"/>
      <c r="X31" s="7"/>
      <c r="Z31" s="2"/>
      <c r="AA31" s="2"/>
      <c r="AB31" s="2"/>
      <c r="AC31" s="2"/>
      <c r="AE31" s="11"/>
      <c r="AF31" s="11"/>
      <c r="AG31" s="11"/>
      <c r="AH31" s="11"/>
      <c r="AJ31" s="12"/>
      <c r="AK31" s="12"/>
      <c r="AL31" s="12"/>
      <c r="AM31" s="12"/>
      <c r="AO31" s="13"/>
      <c r="AP31" s="13"/>
      <c r="AQ31" s="13"/>
      <c r="AR31" s="13"/>
      <c r="AY31" s="12"/>
    </row>
    <row r="32" spans="1:51" ht="15.75" customHeight="1" x14ac:dyDescent="0.2">
      <c r="A32" s="1"/>
      <c r="B32" s="7"/>
      <c r="C32" s="8"/>
      <c r="D32" s="1"/>
      <c r="E32" s="1"/>
      <c r="F32" s="1"/>
      <c r="G32" s="1"/>
      <c r="H32" s="1"/>
      <c r="I32" s="2"/>
      <c r="J32" s="1"/>
      <c r="K32" s="1"/>
      <c r="L32" s="9"/>
      <c r="M32" s="1"/>
      <c r="N32" s="1"/>
      <c r="O32" s="1"/>
      <c r="P32" s="10"/>
      <c r="Q32" s="10"/>
      <c r="R32" s="10"/>
      <c r="S32" s="10"/>
      <c r="U32" s="7"/>
      <c r="V32" s="7"/>
      <c r="W32" s="7"/>
      <c r="X32" s="7"/>
      <c r="Z32" s="2"/>
      <c r="AA32" s="2"/>
      <c r="AB32" s="2"/>
      <c r="AC32" s="2"/>
      <c r="AE32" s="11"/>
      <c r="AF32" s="11"/>
      <c r="AG32" s="11"/>
      <c r="AH32" s="11"/>
      <c r="AJ32" s="12"/>
      <c r="AK32" s="12"/>
      <c r="AL32" s="12"/>
      <c r="AM32" s="12"/>
      <c r="AO32" s="13"/>
      <c r="AP32" s="13"/>
      <c r="AQ32" s="13"/>
      <c r="AR32" s="13"/>
      <c r="AY32" s="12"/>
    </row>
    <row r="33" spans="1:51" ht="15.75" customHeight="1" x14ac:dyDescent="0.2">
      <c r="A33" s="1"/>
      <c r="B33" s="7"/>
      <c r="C33" s="8"/>
      <c r="D33" s="1"/>
      <c r="E33" s="1"/>
      <c r="F33" s="1"/>
      <c r="G33" s="1"/>
      <c r="H33" s="1"/>
      <c r="I33" s="2"/>
      <c r="J33" s="1"/>
      <c r="K33" s="1"/>
      <c r="L33" s="9"/>
      <c r="M33" s="1"/>
      <c r="N33" s="1"/>
      <c r="O33" s="1"/>
      <c r="P33" s="10"/>
      <c r="Q33" s="10"/>
      <c r="R33" s="10"/>
      <c r="S33" s="10"/>
      <c r="U33" s="7"/>
      <c r="V33" s="7"/>
      <c r="W33" s="7"/>
      <c r="X33" s="7"/>
      <c r="Z33" s="2"/>
      <c r="AA33" s="2"/>
      <c r="AB33" s="2"/>
      <c r="AC33" s="2"/>
      <c r="AE33" s="11"/>
      <c r="AF33" s="11"/>
      <c r="AG33" s="11"/>
      <c r="AH33" s="11"/>
      <c r="AJ33" s="12"/>
      <c r="AK33" s="12"/>
      <c r="AL33" s="12"/>
      <c r="AM33" s="12"/>
      <c r="AO33" s="13"/>
      <c r="AP33" s="13"/>
      <c r="AQ33" s="13"/>
      <c r="AR33" s="13"/>
      <c r="AY33" s="12"/>
    </row>
    <row r="34" spans="1:51" ht="15.75" customHeight="1" x14ac:dyDescent="0.2">
      <c r="A34" s="1"/>
      <c r="B34" s="7"/>
      <c r="C34" s="8"/>
      <c r="D34" s="1"/>
      <c r="E34" s="1"/>
      <c r="F34" s="1"/>
      <c r="G34" s="1"/>
      <c r="H34" s="1"/>
      <c r="I34" s="2"/>
      <c r="J34" s="1"/>
      <c r="K34" s="1"/>
      <c r="L34" s="9"/>
      <c r="M34" s="1"/>
      <c r="N34" s="1"/>
      <c r="O34" s="1"/>
      <c r="P34" s="10"/>
      <c r="Q34" s="10"/>
      <c r="R34" s="10"/>
      <c r="S34" s="10"/>
      <c r="U34" s="7"/>
      <c r="V34" s="7"/>
      <c r="W34" s="7"/>
      <c r="X34" s="7"/>
      <c r="Z34" s="2"/>
      <c r="AA34" s="2"/>
      <c r="AB34" s="2"/>
      <c r="AC34" s="2"/>
      <c r="AE34" s="11"/>
      <c r="AF34" s="11"/>
      <c r="AG34" s="11"/>
      <c r="AH34" s="11"/>
      <c r="AJ34" s="12"/>
      <c r="AK34" s="12"/>
      <c r="AL34" s="12"/>
      <c r="AM34" s="12"/>
      <c r="AO34" s="13"/>
      <c r="AP34" s="13"/>
      <c r="AQ34" s="13"/>
      <c r="AR34" s="13"/>
      <c r="AY34" s="12"/>
    </row>
    <row r="35" spans="1:51" ht="15.75" customHeight="1" x14ac:dyDescent="0.2">
      <c r="A35" s="1"/>
      <c r="B35" s="7"/>
      <c r="C35" s="8"/>
      <c r="D35" s="1"/>
      <c r="E35" s="1"/>
      <c r="F35" s="1"/>
      <c r="G35" s="1"/>
      <c r="H35" s="1"/>
      <c r="I35" s="2"/>
      <c r="J35" s="1"/>
      <c r="K35" s="1"/>
      <c r="L35" s="9"/>
      <c r="M35" s="1"/>
      <c r="N35" s="1"/>
      <c r="O35" s="1"/>
      <c r="P35" s="10"/>
      <c r="Q35" s="10"/>
      <c r="R35" s="10"/>
      <c r="S35" s="10"/>
      <c r="U35" s="7"/>
      <c r="V35" s="7"/>
      <c r="W35" s="7"/>
      <c r="X35" s="7"/>
      <c r="Z35" s="2"/>
      <c r="AA35" s="2"/>
      <c r="AB35" s="2"/>
      <c r="AC35" s="2"/>
      <c r="AE35" s="11"/>
      <c r="AF35" s="11"/>
      <c r="AG35" s="11"/>
      <c r="AH35" s="11"/>
      <c r="AJ35" s="12"/>
      <c r="AK35" s="12"/>
      <c r="AL35" s="12"/>
      <c r="AM35" s="12"/>
      <c r="AO35" s="13"/>
      <c r="AP35" s="13"/>
      <c r="AQ35" s="13"/>
      <c r="AR35" s="13"/>
      <c r="AY35" s="12"/>
    </row>
    <row r="36" spans="1:51" ht="15.75" customHeight="1" x14ac:dyDescent="0.2">
      <c r="A36" s="1"/>
      <c r="B36" s="7"/>
      <c r="C36" s="8"/>
      <c r="D36" s="1"/>
      <c r="E36" s="1"/>
      <c r="F36" s="1"/>
      <c r="G36" s="1"/>
      <c r="H36" s="1"/>
      <c r="I36" s="2"/>
      <c r="J36" s="1"/>
      <c r="K36" s="1"/>
      <c r="L36" s="9"/>
      <c r="M36" s="1"/>
      <c r="N36" s="1"/>
      <c r="O36" s="1"/>
      <c r="P36" s="10"/>
      <c r="Q36" s="10"/>
      <c r="R36" s="10"/>
      <c r="S36" s="10"/>
      <c r="U36" s="7"/>
      <c r="V36" s="7"/>
      <c r="W36" s="7"/>
      <c r="X36" s="7"/>
      <c r="Z36" s="2"/>
      <c r="AA36" s="2"/>
      <c r="AB36" s="2"/>
      <c r="AC36" s="2"/>
      <c r="AE36" s="11"/>
      <c r="AF36" s="11"/>
      <c r="AG36" s="11"/>
      <c r="AH36" s="11"/>
      <c r="AJ36" s="12"/>
      <c r="AK36" s="12"/>
      <c r="AL36" s="12"/>
      <c r="AM36" s="12"/>
      <c r="AO36" s="13"/>
      <c r="AP36" s="13"/>
      <c r="AQ36" s="13"/>
      <c r="AR36" s="13"/>
      <c r="AY36" s="12"/>
    </row>
    <row r="37" spans="1:51" ht="15.75" customHeight="1" x14ac:dyDescent="0.2">
      <c r="A37" s="1"/>
      <c r="B37" s="7"/>
      <c r="C37" s="8"/>
      <c r="D37" s="1"/>
      <c r="E37" s="1"/>
      <c r="F37" s="1"/>
      <c r="G37" s="1"/>
      <c r="H37" s="1"/>
      <c r="I37" s="2"/>
      <c r="J37" s="1"/>
      <c r="K37" s="1"/>
      <c r="L37" s="9"/>
      <c r="M37" s="1"/>
      <c r="N37" s="1"/>
      <c r="O37" s="1"/>
      <c r="P37" s="10"/>
      <c r="Q37" s="10"/>
      <c r="R37" s="10"/>
      <c r="S37" s="10"/>
      <c r="U37" s="7"/>
      <c r="V37" s="7"/>
      <c r="W37" s="7"/>
      <c r="X37" s="7"/>
      <c r="Z37" s="2"/>
      <c r="AA37" s="2"/>
      <c r="AB37" s="2"/>
      <c r="AC37" s="2"/>
      <c r="AE37" s="11"/>
      <c r="AF37" s="11"/>
      <c r="AG37" s="11"/>
      <c r="AH37" s="11"/>
      <c r="AJ37" s="12"/>
      <c r="AK37" s="12"/>
      <c r="AL37" s="12"/>
      <c r="AM37" s="12"/>
      <c r="AO37" s="13"/>
      <c r="AP37" s="13"/>
      <c r="AQ37" s="13"/>
      <c r="AR37" s="13"/>
      <c r="AY37" s="12"/>
    </row>
    <row r="38" spans="1:51" ht="15.75" customHeight="1" x14ac:dyDescent="0.2">
      <c r="A38" s="1"/>
      <c r="B38" s="7"/>
      <c r="C38" s="8"/>
      <c r="D38" s="1"/>
      <c r="E38" s="1"/>
      <c r="F38" s="1"/>
      <c r="G38" s="1"/>
      <c r="H38" s="1"/>
      <c r="I38" s="2"/>
      <c r="J38" s="1"/>
      <c r="K38" s="1"/>
      <c r="L38" s="9"/>
      <c r="M38" s="1"/>
      <c r="N38" s="1"/>
      <c r="O38" s="1"/>
      <c r="P38" s="10"/>
      <c r="Q38" s="10"/>
      <c r="R38" s="10"/>
      <c r="S38" s="10"/>
      <c r="U38" s="7"/>
      <c r="V38" s="7"/>
      <c r="W38" s="7"/>
      <c r="X38" s="7"/>
      <c r="Z38" s="2"/>
      <c r="AA38" s="2"/>
      <c r="AB38" s="2"/>
      <c r="AC38" s="2"/>
      <c r="AE38" s="11"/>
      <c r="AF38" s="11"/>
      <c r="AG38" s="11"/>
      <c r="AH38" s="11"/>
      <c r="AJ38" s="12"/>
      <c r="AK38" s="12"/>
      <c r="AL38" s="12"/>
      <c r="AM38" s="12"/>
      <c r="AO38" s="13"/>
      <c r="AP38" s="13"/>
      <c r="AQ38" s="13"/>
      <c r="AR38" s="13"/>
      <c r="AY38" s="12"/>
    </row>
    <row r="39" spans="1:51" ht="15.75" customHeight="1" x14ac:dyDescent="0.2">
      <c r="A39" s="1"/>
      <c r="B39" s="7"/>
      <c r="C39" s="8"/>
      <c r="D39" s="1"/>
      <c r="E39" s="1"/>
      <c r="F39" s="1"/>
      <c r="G39" s="1"/>
      <c r="H39" s="1"/>
      <c r="I39" s="2"/>
      <c r="J39" s="1"/>
      <c r="K39" s="1"/>
      <c r="L39" s="9"/>
      <c r="M39" s="1"/>
      <c r="N39" s="1"/>
      <c r="O39" s="1"/>
      <c r="P39" s="10"/>
      <c r="Q39" s="10"/>
      <c r="R39" s="10"/>
      <c r="S39" s="10"/>
      <c r="U39" s="7"/>
      <c r="V39" s="7"/>
      <c r="W39" s="7"/>
      <c r="X39" s="7"/>
      <c r="Z39" s="2"/>
      <c r="AA39" s="2"/>
      <c r="AB39" s="2"/>
      <c r="AC39" s="2"/>
      <c r="AE39" s="11"/>
      <c r="AF39" s="11"/>
      <c r="AG39" s="11"/>
      <c r="AH39" s="11"/>
      <c r="AJ39" s="12"/>
      <c r="AK39" s="12"/>
      <c r="AL39" s="12"/>
      <c r="AM39" s="12"/>
      <c r="AO39" s="13"/>
      <c r="AP39" s="13"/>
      <c r="AQ39" s="13"/>
      <c r="AR39" s="13"/>
      <c r="AY39" s="12"/>
    </row>
    <row r="40" spans="1:51" ht="15.75" customHeight="1" x14ac:dyDescent="0.2">
      <c r="A40" s="1"/>
      <c r="B40" s="7"/>
      <c r="C40" s="8"/>
      <c r="D40" s="1"/>
      <c r="E40" s="1"/>
      <c r="F40" s="1"/>
      <c r="G40" s="1"/>
      <c r="H40" s="1"/>
      <c r="I40" s="2"/>
      <c r="J40" s="1"/>
      <c r="K40" s="1"/>
      <c r="L40" s="9"/>
      <c r="M40" s="1"/>
      <c r="N40" s="1"/>
      <c r="O40" s="1"/>
      <c r="P40" s="10"/>
      <c r="Q40" s="10"/>
      <c r="R40" s="10"/>
      <c r="S40" s="10"/>
      <c r="U40" s="7"/>
      <c r="V40" s="7"/>
      <c r="W40" s="7"/>
      <c r="X40" s="7"/>
      <c r="Z40" s="2"/>
      <c r="AA40" s="2"/>
      <c r="AB40" s="2"/>
      <c r="AC40" s="2"/>
      <c r="AE40" s="11"/>
      <c r="AF40" s="11"/>
      <c r="AG40" s="11"/>
      <c r="AH40" s="11"/>
      <c r="AJ40" s="12"/>
      <c r="AK40" s="12"/>
      <c r="AL40" s="12"/>
      <c r="AM40" s="12"/>
      <c r="AO40" s="13"/>
      <c r="AP40" s="13"/>
      <c r="AQ40" s="13"/>
      <c r="AR40" s="13"/>
      <c r="AY40" s="12"/>
    </row>
    <row r="41" spans="1:51" ht="15.75" customHeight="1" x14ac:dyDescent="0.2">
      <c r="A41" s="1"/>
      <c r="B41" s="7"/>
      <c r="C41" s="8"/>
      <c r="D41" s="1"/>
      <c r="E41" s="1"/>
      <c r="F41" s="1"/>
      <c r="G41" s="1"/>
      <c r="H41" s="1"/>
      <c r="I41" s="2"/>
      <c r="J41" s="1"/>
      <c r="K41" s="1"/>
      <c r="L41" s="9"/>
      <c r="M41" s="1"/>
      <c r="N41" s="1"/>
      <c r="O41" s="1"/>
      <c r="P41" s="10"/>
      <c r="Q41" s="10"/>
      <c r="R41" s="10"/>
      <c r="S41" s="10"/>
      <c r="U41" s="7"/>
      <c r="V41" s="7"/>
      <c r="W41" s="7"/>
      <c r="X41" s="7"/>
      <c r="Z41" s="2"/>
      <c r="AA41" s="2"/>
      <c r="AB41" s="2"/>
      <c r="AC41" s="2"/>
      <c r="AE41" s="11"/>
      <c r="AF41" s="11"/>
      <c r="AG41" s="11"/>
      <c r="AH41" s="11"/>
      <c r="AJ41" s="12"/>
      <c r="AK41" s="12"/>
      <c r="AL41" s="12"/>
      <c r="AM41" s="12"/>
      <c r="AO41" s="13"/>
      <c r="AP41" s="13"/>
      <c r="AQ41" s="13"/>
      <c r="AR41" s="13"/>
      <c r="AY41" s="12"/>
    </row>
    <row r="42" spans="1:51" ht="15.75" customHeight="1" x14ac:dyDescent="0.2">
      <c r="A42" s="1"/>
      <c r="B42" s="7"/>
      <c r="C42" s="8"/>
      <c r="D42" s="1"/>
      <c r="E42" s="1"/>
      <c r="F42" s="1"/>
      <c r="G42" s="1"/>
      <c r="H42" s="1"/>
      <c r="I42" s="2"/>
      <c r="J42" s="1"/>
      <c r="K42" s="1"/>
      <c r="L42" s="9"/>
      <c r="M42" s="1"/>
      <c r="N42" s="1"/>
      <c r="O42" s="1"/>
      <c r="P42" s="10"/>
      <c r="Q42" s="10"/>
      <c r="R42" s="10"/>
      <c r="S42" s="10"/>
      <c r="U42" s="7"/>
      <c r="V42" s="7"/>
      <c r="W42" s="7"/>
      <c r="X42" s="7"/>
      <c r="Z42" s="2"/>
      <c r="AA42" s="2"/>
      <c r="AB42" s="2"/>
      <c r="AC42" s="2"/>
      <c r="AE42" s="11"/>
      <c r="AF42" s="11"/>
      <c r="AG42" s="11"/>
      <c r="AH42" s="11"/>
      <c r="AJ42" s="12"/>
      <c r="AK42" s="12"/>
      <c r="AL42" s="12"/>
      <c r="AM42" s="12"/>
      <c r="AO42" s="13"/>
      <c r="AP42" s="13"/>
      <c r="AQ42" s="13"/>
      <c r="AR42" s="13"/>
      <c r="AY42" s="12"/>
    </row>
    <row r="43" spans="1:51" ht="15.75" customHeight="1" x14ac:dyDescent="0.2">
      <c r="A43" s="1"/>
      <c r="B43" s="7"/>
      <c r="C43" s="8"/>
      <c r="D43" s="1"/>
      <c r="E43" s="1"/>
      <c r="F43" s="1"/>
      <c r="G43" s="1"/>
      <c r="H43" s="1"/>
      <c r="I43" s="2"/>
      <c r="J43" s="1"/>
      <c r="K43" s="1"/>
      <c r="L43" s="9"/>
      <c r="M43" s="1"/>
      <c r="N43" s="1"/>
      <c r="O43" s="1"/>
      <c r="P43" s="10"/>
      <c r="Q43" s="10"/>
      <c r="R43" s="10"/>
      <c r="S43" s="10"/>
      <c r="U43" s="7"/>
      <c r="V43" s="7"/>
      <c r="W43" s="7"/>
      <c r="X43" s="7"/>
      <c r="Z43" s="2"/>
      <c r="AA43" s="2"/>
      <c r="AB43" s="2"/>
      <c r="AC43" s="2"/>
      <c r="AE43" s="11"/>
      <c r="AF43" s="11"/>
      <c r="AG43" s="11"/>
      <c r="AH43" s="11"/>
      <c r="AJ43" s="12"/>
      <c r="AK43" s="12"/>
      <c r="AL43" s="12"/>
      <c r="AM43" s="12"/>
      <c r="AO43" s="13"/>
      <c r="AP43" s="13"/>
      <c r="AQ43" s="13"/>
      <c r="AR43" s="13"/>
      <c r="AY43" s="12"/>
    </row>
    <row r="44" spans="1:51" ht="15.75" customHeight="1" x14ac:dyDescent="0.2">
      <c r="A44" s="1"/>
      <c r="B44" s="7"/>
      <c r="C44" s="8"/>
      <c r="D44" s="1"/>
      <c r="E44" s="1"/>
      <c r="F44" s="1"/>
      <c r="G44" s="1"/>
      <c r="H44" s="1"/>
      <c r="I44" s="2"/>
      <c r="J44" s="1"/>
      <c r="K44" s="1"/>
      <c r="L44" s="9"/>
      <c r="M44" s="1"/>
      <c r="N44" s="1"/>
      <c r="O44" s="1"/>
      <c r="P44" s="10"/>
      <c r="Q44" s="10"/>
      <c r="R44" s="10"/>
      <c r="S44" s="10"/>
      <c r="U44" s="7"/>
      <c r="V44" s="7"/>
      <c r="W44" s="7"/>
      <c r="X44" s="7"/>
      <c r="Z44" s="2"/>
      <c r="AA44" s="2"/>
      <c r="AB44" s="2"/>
      <c r="AC44" s="2"/>
      <c r="AE44" s="11"/>
      <c r="AF44" s="11"/>
      <c r="AG44" s="11"/>
      <c r="AH44" s="11"/>
      <c r="AJ44" s="12"/>
      <c r="AK44" s="12"/>
      <c r="AL44" s="12"/>
      <c r="AM44" s="12"/>
      <c r="AO44" s="13"/>
      <c r="AP44" s="13"/>
      <c r="AQ44" s="13"/>
      <c r="AR44" s="13"/>
      <c r="AY44" s="12"/>
    </row>
    <row r="45" spans="1:51" ht="15.75" customHeight="1" x14ac:dyDescent="0.2">
      <c r="A45" s="1"/>
      <c r="B45" s="7"/>
      <c r="C45" s="8"/>
      <c r="D45" s="1"/>
      <c r="E45" s="1"/>
      <c r="F45" s="1"/>
      <c r="G45" s="1"/>
      <c r="H45" s="1"/>
      <c r="I45" s="2"/>
      <c r="J45" s="1"/>
      <c r="K45" s="1"/>
      <c r="L45" s="9"/>
      <c r="M45" s="1"/>
      <c r="N45" s="1"/>
      <c r="O45" s="1"/>
      <c r="P45" s="10"/>
      <c r="Q45" s="10"/>
      <c r="R45" s="10"/>
      <c r="S45" s="10"/>
      <c r="U45" s="7"/>
      <c r="V45" s="7"/>
      <c r="W45" s="7"/>
      <c r="X45" s="7"/>
      <c r="Z45" s="2"/>
      <c r="AA45" s="2"/>
      <c r="AB45" s="2"/>
      <c r="AC45" s="2"/>
      <c r="AE45" s="11"/>
      <c r="AF45" s="11"/>
      <c r="AG45" s="11"/>
      <c r="AH45" s="11"/>
      <c r="AJ45" s="12"/>
      <c r="AK45" s="12"/>
      <c r="AL45" s="12"/>
      <c r="AM45" s="12"/>
      <c r="AO45" s="13"/>
      <c r="AP45" s="13"/>
      <c r="AQ45" s="13"/>
      <c r="AR45" s="13"/>
      <c r="AY45" s="12"/>
    </row>
    <row r="46" spans="1:51" ht="15.75" customHeight="1" x14ac:dyDescent="0.2">
      <c r="A46" s="1"/>
      <c r="B46" s="7"/>
      <c r="C46" s="8"/>
      <c r="D46" s="1"/>
      <c r="E46" s="1"/>
      <c r="F46" s="1"/>
      <c r="G46" s="1"/>
      <c r="H46" s="1"/>
      <c r="I46" s="2"/>
      <c r="J46" s="1"/>
      <c r="K46" s="1"/>
      <c r="L46" s="9"/>
      <c r="M46" s="1"/>
      <c r="N46" s="1"/>
      <c r="O46" s="1"/>
      <c r="P46" s="10"/>
      <c r="Q46" s="10"/>
      <c r="R46" s="10"/>
      <c r="S46" s="10"/>
      <c r="U46" s="7"/>
      <c r="V46" s="7"/>
      <c r="W46" s="7"/>
      <c r="X46" s="7"/>
      <c r="Z46" s="2"/>
      <c r="AA46" s="2"/>
      <c r="AB46" s="2"/>
      <c r="AC46" s="2"/>
      <c r="AE46" s="11"/>
      <c r="AF46" s="11"/>
      <c r="AG46" s="11"/>
      <c r="AH46" s="11"/>
      <c r="AJ46" s="12"/>
      <c r="AK46" s="12"/>
      <c r="AL46" s="12"/>
      <c r="AM46" s="12"/>
      <c r="AO46" s="13"/>
      <c r="AP46" s="13"/>
      <c r="AQ46" s="13"/>
      <c r="AR46" s="13"/>
      <c r="AY46" s="12"/>
    </row>
    <row r="47" spans="1:51" ht="12.75" x14ac:dyDescent="0.2">
      <c r="A47" s="1"/>
      <c r="B47" s="7"/>
      <c r="C47" s="8"/>
      <c r="D47" s="1"/>
      <c r="E47" s="1"/>
      <c r="F47" s="1"/>
      <c r="G47" s="1"/>
      <c r="H47" s="1"/>
      <c r="I47" s="2"/>
      <c r="J47" s="1"/>
      <c r="K47" s="1"/>
      <c r="L47" s="9"/>
      <c r="M47" s="1"/>
      <c r="N47" s="1"/>
      <c r="O47" s="1"/>
      <c r="P47" s="10"/>
      <c r="Q47" s="10"/>
      <c r="R47" s="10"/>
      <c r="S47" s="10"/>
      <c r="U47" s="7"/>
      <c r="V47" s="7"/>
      <c r="W47" s="7"/>
      <c r="X47" s="7"/>
      <c r="Z47" s="2"/>
      <c r="AA47" s="2"/>
      <c r="AB47" s="2"/>
      <c r="AC47" s="2"/>
      <c r="AE47" s="11"/>
      <c r="AF47" s="11"/>
      <c r="AG47" s="11"/>
      <c r="AH47" s="11"/>
      <c r="AJ47" s="12"/>
      <c r="AK47" s="12"/>
      <c r="AL47" s="12"/>
      <c r="AM47" s="12"/>
      <c r="AO47" s="13"/>
      <c r="AP47" s="13"/>
      <c r="AQ47" s="13"/>
      <c r="AR47" s="13"/>
      <c r="AY47" s="12"/>
    </row>
    <row r="48" spans="1:51" ht="12.75" x14ac:dyDescent="0.2">
      <c r="A48" s="1"/>
      <c r="B48" s="7"/>
      <c r="C48" s="8"/>
      <c r="D48" s="1"/>
      <c r="E48" s="1"/>
      <c r="F48" s="1"/>
      <c r="G48" s="1"/>
      <c r="H48" s="1"/>
      <c r="I48" s="2"/>
      <c r="J48" s="1"/>
      <c r="K48" s="1"/>
      <c r="L48" s="9"/>
      <c r="M48" s="1"/>
      <c r="N48" s="1"/>
      <c r="O48" s="1"/>
      <c r="P48" s="10"/>
      <c r="Q48" s="10"/>
      <c r="R48" s="10"/>
      <c r="S48" s="10"/>
      <c r="U48" s="7"/>
      <c r="V48" s="7"/>
      <c r="W48" s="7"/>
      <c r="X48" s="7"/>
      <c r="Z48" s="2"/>
      <c r="AA48" s="2"/>
      <c r="AB48" s="2"/>
      <c r="AC48" s="2"/>
      <c r="AE48" s="11"/>
      <c r="AF48" s="11"/>
      <c r="AG48" s="11"/>
      <c r="AH48" s="11"/>
      <c r="AJ48" s="12"/>
      <c r="AK48" s="12"/>
      <c r="AL48" s="12"/>
      <c r="AM48" s="12"/>
      <c r="AO48" s="13"/>
      <c r="AP48" s="13"/>
      <c r="AQ48" s="13"/>
      <c r="AR48" s="13"/>
      <c r="AY48" s="12"/>
    </row>
    <row r="49" spans="1:51" ht="12.75" x14ac:dyDescent="0.2">
      <c r="A49" s="1"/>
      <c r="B49" s="7"/>
      <c r="C49" s="8"/>
      <c r="D49" s="1"/>
      <c r="E49" s="1"/>
      <c r="F49" s="1"/>
      <c r="G49" s="1"/>
      <c r="H49" s="1"/>
      <c r="I49" s="2"/>
      <c r="J49" s="1"/>
      <c r="K49" s="1"/>
      <c r="L49" s="9"/>
      <c r="M49" s="1"/>
      <c r="N49" s="1"/>
      <c r="O49" s="1"/>
      <c r="P49" s="10"/>
      <c r="Q49" s="10"/>
      <c r="R49" s="10"/>
      <c r="S49" s="10"/>
      <c r="U49" s="7"/>
      <c r="V49" s="7"/>
      <c r="W49" s="7"/>
      <c r="X49" s="7"/>
      <c r="Z49" s="2"/>
      <c r="AA49" s="2"/>
      <c r="AB49" s="2"/>
      <c r="AC49" s="2"/>
      <c r="AE49" s="11"/>
      <c r="AF49" s="11"/>
      <c r="AG49" s="11"/>
      <c r="AH49" s="11"/>
      <c r="AJ49" s="12"/>
      <c r="AK49" s="12"/>
      <c r="AL49" s="12"/>
      <c r="AM49" s="12"/>
      <c r="AO49" s="13"/>
      <c r="AP49" s="13"/>
      <c r="AQ49" s="13"/>
      <c r="AR49" s="13"/>
      <c r="AY49" s="12"/>
    </row>
    <row r="50" spans="1:51" ht="12.75" x14ac:dyDescent="0.2">
      <c r="A50" s="1"/>
      <c r="B50" s="7"/>
      <c r="C50" s="8"/>
      <c r="D50" s="1"/>
      <c r="E50" s="1"/>
      <c r="F50" s="1"/>
      <c r="G50" s="1"/>
      <c r="H50" s="1"/>
      <c r="I50" s="2"/>
      <c r="J50" s="1"/>
      <c r="K50" s="1"/>
      <c r="L50" s="9"/>
      <c r="M50" s="1"/>
      <c r="N50" s="1"/>
      <c r="O50" s="1"/>
      <c r="P50" s="10"/>
      <c r="Q50" s="10"/>
      <c r="R50" s="10"/>
      <c r="S50" s="10"/>
      <c r="U50" s="7"/>
      <c r="V50" s="7"/>
      <c r="W50" s="7"/>
      <c r="X50" s="7"/>
      <c r="Z50" s="2"/>
      <c r="AA50" s="2"/>
      <c r="AB50" s="2"/>
      <c r="AC50" s="2"/>
      <c r="AE50" s="11"/>
      <c r="AF50" s="11"/>
      <c r="AG50" s="11"/>
      <c r="AH50" s="11"/>
      <c r="AJ50" s="12"/>
      <c r="AK50" s="12"/>
      <c r="AL50" s="12"/>
      <c r="AM50" s="12"/>
      <c r="AO50" s="13"/>
      <c r="AP50" s="13"/>
      <c r="AQ50" s="13"/>
      <c r="AR50" s="13"/>
      <c r="AY50" s="12"/>
    </row>
    <row r="51" spans="1:51" ht="12.75" x14ac:dyDescent="0.2">
      <c r="A51" s="1"/>
      <c r="B51" s="7"/>
      <c r="C51" s="8"/>
      <c r="D51" s="1"/>
      <c r="E51" s="1"/>
      <c r="F51" s="1"/>
      <c r="G51" s="1"/>
      <c r="H51" s="1"/>
      <c r="I51" s="2"/>
      <c r="J51" s="1"/>
      <c r="K51" s="1"/>
      <c r="L51" s="9"/>
      <c r="M51" s="1"/>
      <c r="N51" s="1"/>
      <c r="O51" s="1"/>
      <c r="P51" s="10"/>
      <c r="Q51" s="10"/>
      <c r="R51" s="10"/>
      <c r="S51" s="10"/>
      <c r="U51" s="7"/>
      <c r="V51" s="7"/>
      <c r="W51" s="7"/>
      <c r="X51" s="7"/>
      <c r="Z51" s="2"/>
      <c r="AA51" s="2"/>
      <c r="AB51" s="2"/>
      <c r="AC51" s="2"/>
      <c r="AE51" s="11"/>
      <c r="AF51" s="11"/>
      <c r="AG51" s="11"/>
      <c r="AH51" s="11"/>
      <c r="AJ51" s="12"/>
      <c r="AK51" s="12"/>
      <c r="AL51" s="12"/>
      <c r="AM51" s="12"/>
      <c r="AO51" s="13"/>
      <c r="AP51" s="13"/>
      <c r="AQ51" s="13"/>
      <c r="AR51" s="13"/>
      <c r="AY51" s="12"/>
    </row>
    <row r="52" spans="1:51" ht="12.75" x14ac:dyDescent="0.2">
      <c r="A52" s="1"/>
      <c r="B52" s="7"/>
      <c r="C52" s="8"/>
      <c r="D52" s="1"/>
      <c r="E52" s="1"/>
      <c r="F52" s="1"/>
      <c r="G52" s="1"/>
      <c r="H52" s="1"/>
      <c r="I52" s="2"/>
      <c r="J52" s="1"/>
      <c r="K52" s="1"/>
      <c r="L52" s="9"/>
      <c r="M52" s="1"/>
      <c r="N52" s="1"/>
      <c r="O52" s="1"/>
      <c r="P52" s="10"/>
      <c r="Q52" s="10"/>
      <c r="R52" s="10"/>
      <c r="S52" s="10"/>
      <c r="U52" s="7"/>
      <c r="V52" s="7"/>
      <c r="W52" s="7"/>
      <c r="X52" s="7"/>
      <c r="Z52" s="2"/>
      <c r="AA52" s="2"/>
      <c r="AB52" s="2"/>
      <c r="AC52" s="2"/>
      <c r="AE52" s="11"/>
      <c r="AF52" s="11"/>
      <c r="AG52" s="11"/>
      <c r="AH52" s="11"/>
      <c r="AJ52" s="12"/>
      <c r="AK52" s="12"/>
      <c r="AL52" s="12"/>
      <c r="AM52" s="12"/>
      <c r="AO52" s="13"/>
      <c r="AP52" s="13"/>
      <c r="AQ52" s="13"/>
      <c r="AR52" s="13"/>
      <c r="AY52" s="12"/>
    </row>
    <row r="53" spans="1:51" ht="12.75" x14ac:dyDescent="0.2">
      <c r="A53" s="1"/>
      <c r="B53" s="7"/>
      <c r="C53" s="8"/>
      <c r="D53" s="1"/>
      <c r="E53" s="1"/>
      <c r="F53" s="1"/>
      <c r="G53" s="1"/>
      <c r="H53" s="1"/>
      <c r="I53" s="2"/>
      <c r="J53" s="1"/>
      <c r="K53" s="1"/>
      <c r="L53" s="9"/>
      <c r="M53" s="1"/>
      <c r="N53" s="1"/>
      <c r="O53" s="1"/>
      <c r="P53" s="10"/>
      <c r="Q53" s="10"/>
      <c r="R53" s="10"/>
      <c r="S53" s="10"/>
      <c r="U53" s="7"/>
      <c r="V53" s="7"/>
      <c r="W53" s="7"/>
      <c r="X53" s="7"/>
      <c r="Z53" s="2"/>
      <c r="AA53" s="2"/>
      <c r="AB53" s="2"/>
      <c r="AC53" s="2"/>
      <c r="AE53" s="11"/>
      <c r="AF53" s="11"/>
      <c r="AG53" s="11"/>
      <c r="AH53" s="11"/>
      <c r="AJ53" s="12"/>
      <c r="AK53" s="12"/>
      <c r="AL53" s="12"/>
      <c r="AM53" s="12"/>
      <c r="AO53" s="13"/>
      <c r="AP53" s="13"/>
      <c r="AQ53" s="13"/>
      <c r="AR53" s="13"/>
      <c r="AY53" s="12"/>
    </row>
    <row r="54" spans="1:51" ht="12.75" x14ac:dyDescent="0.2">
      <c r="A54" s="1"/>
      <c r="B54" s="7"/>
      <c r="C54" s="8"/>
      <c r="D54" s="1"/>
      <c r="E54" s="1"/>
      <c r="F54" s="1"/>
      <c r="G54" s="1"/>
      <c r="H54" s="1"/>
      <c r="I54" s="2"/>
      <c r="J54" s="1"/>
      <c r="K54" s="1"/>
      <c r="L54" s="9"/>
      <c r="M54" s="1"/>
      <c r="N54" s="1"/>
      <c r="O54" s="1"/>
      <c r="P54" s="10"/>
      <c r="Q54" s="10"/>
      <c r="R54" s="10"/>
      <c r="S54" s="10"/>
      <c r="U54" s="7"/>
      <c r="V54" s="7"/>
      <c r="W54" s="7"/>
      <c r="X54" s="7"/>
      <c r="Z54" s="2"/>
      <c r="AA54" s="2"/>
      <c r="AB54" s="2"/>
      <c r="AC54" s="2"/>
      <c r="AE54" s="11"/>
      <c r="AF54" s="11"/>
      <c r="AG54" s="11"/>
      <c r="AH54" s="11"/>
      <c r="AJ54" s="12"/>
      <c r="AK54" s="12"/>
      <c r="AL54" s="12"/>
      <c r="AM54" s="12"/>
      <c r="AO54" s="13"/>
      <c r="AP54" s="13"/>
      <c r="AQ54" s="13"/>
      <c r="AR54" s="13"/>
      <c r="AY54" s="12"/>
    </row>
    <row r="55" spans="1:51" ht="12.75" x14ac:dyDescent="0.2">
      <c r="A55" s="1"/>
      <c r="B55" s="7"/>
      <c r="C55" s="8"/>
      <c r="D55" s="1"/>
      <c r="E55" s="1"/>
      <c r="F55" s="1"/>
      <c r="G55" s="1"/>
      <c r="H55" s="1"/>
      <c r="I55" s="2"/>
      <c r="J55" s="1"/>
      <c r="K55" s="1"/>
      <c r="L55" s="9"/>
      <c r="M55" s="1"/>
      <c r="N55" s="1"/>
      <c r="O55" s="1"/>
      <c r="P55" s="10"/>
      <c r="Q55" s="10"/>
      <c r="R55" s="10"/>
      <c r="S55" s="10"/>
      <c r="U55" s="7"/>
      <c r="V55" s="7"/>
      <c r="W55" s="7"/>
      <c r="X55" s="7"/>
      <c r="Z55" s="2"/>
      <c r="AA55" s="2"/>
      <c r="AB55" s="2"/>
      <c r="AC55" s="2"/>
      <c r="AE55" s="11"/>
      <c r="AF55" s="11"/>
      <c r="AG55" s="11"/>
      <c r="AH55" s="11"/>
      <c r="AJ55" s="12"/>
      <c r="AK55" s="12"/>
      <c r="AL55" s="12"/>
      <c r="AM55" s="12"/>
      <c r="AO55" s="13"/>
      <c r="AP55" s="13"/>
      <c r="AQ55" s="13"/>
      <c r="AR55" s="13"/>
      <c r="AY55" s="12"/>
    </row>
    <row r="56" spans="1:51" ht="12.75" x14ac:dyDescent="0.2">
      <c r="A56" s="1"/>
      <c r="B56" s="7"/>
      <c r="C56" s="8"/>
      <c r="D56" s="1"/>
      <c r="E56" s="1"/>
      <c r="F56" s="1"/>
      <c r="G56" s="1"/>
      <c r="H56" s="1"/>
      <c r="I56" s="2"/>
      <c r="J56" s="1"/>
      <c r="K56" s="1"/>
      <c r="L56" s="9"/>
      <c r="M56" s="1"/>
      <c r="N56" s="1"/>
      <c r="O56" s="1"/>
      <c r="P56" s="10"/>
      <c r="Q56" s="10"/>
      <c r="R56" s="10"/>
      <c r="S56" s="10"/>
      <c r="U56" s="7"/>
      <c r="V56" s="7"/>
      <c r="W56" s="7"/>
      <c r="X56" s="7"/>
      <c r="Z56" s="2"/>
      <c r="AA56" s="2"/>
      <c r="AB56" s="2"/>
      <c r="AC56" s="2"/>
      <c r="AE56" s="11"/>
      <c r="AF56" s="11"/>
      <c r="AG56" s="11"/>
      <c r="AH56" s="11"/>
      <c r="AJ56" s="12"/>
      <c r="AK56" s="12"/>
      <c r="AL56" s="12"/>
      <c r="AM56" s="12"/>
      <c r="AO56" s="13"/>
      <c r="AP56" s="13"/>
      <c r="AQ56" s="13"/>
      <c r="AR56" s="13"/>
      <c r="AY56" s="12"/>
    </row>
    <row r="57" spans="1:51" ht="12.75" x14ac:dyDescent="0.2">
      <c r="A57" s="1"/>
      <c r="B57" s="7"/>
      <c r="C57" s="8"/>
      <c r="D57" s="1"/>
      <c r="E57" s="1"/>
      <c r="F57" s="1"/>
      <c r="G57" s="1"/>
      <c r="H57" s="1"/>
      <c r="I57" s="2"/>
      <c r="J57" s="1"/>
      <c r="K57" s="1"/>
      <c r="L57" s="9"/>
      <c r="M57" s="1"/>
      <c r="N57" s="1"/>
      <c r="O57" s="1"/>
      <c r="P57" s="10"/>
      <c r="Q57" s="10"/>
      <c r="R57" s="10"/>
      <c r="S57" s="10"/>
      <c r="U57" s="7"/>
      <c r="V57" s="7"/>
      <c r="W57" s="7"/>
      <c r="X57" s="7"/>
      <c r="Z57" s="2"/>
      <c r="AA57" s="2"/>
      <c r="AB57" s="2"/>
      <c r="AC57" s="2"/>
      <c r="AE57" s="11"/>
      <c r="AF57" s="11"/>
      <c r="AG57" s="11"/>
      <c r="AH57" s="11"/>
      <c r="AJ57" s="12"/>
      <c r="AK57" s="12"/>
      <c r="AL57" s="12"/>
      <c r="AM57" s="12"/>
      <c r="AO57" s="13"/>
      <c r="AP57" s="13"/>
      <c r="AQ57" s="13"/>
      <c r="AR57" s="13"/>
      <c r="AY57" s="12"/>
    </row>
    <row r="58" spans="1:51" ht="12.75" x14ac:dyDescent="0.2">
      <c r="A58" s="1"/>
      <c r="B58" s="7"/>
      <c r="C58" s="8"/>
      <c r="D58" s="1"/>
      <c r="E58" s="1"/>
      <c r="F58" s="1"/>
      <c r="G58" s="1"/>
      <c r="H58" s="1"/>
      <c r="I58" s="2"/>
      <c r="J58" s="1"/>
      <c r="K58" s="1"/>
      <c r="L58" s="9"/>
      <c r="M58" s="1"/>
      <c r="N58" s="1"/>
      <c r="O58" s="1"/>
      <c r="P58" s="10"/>
      <c r="Q58" s="10"/>
      <c r="R58" s="10"/>
      <c r="S58" s="10"/>
      <c r="U58" s="7"/>
      <c r="V58" s="7"/>
      <c r="W58" s="7"/>
      <c r="X58" s="7"/>
      <c r="Z58" s="2"/>
      <c r="AA58" s="2"/>
      <c r="AB58" s="2"/>
      <c r="AC58" s="2"/>
      <c r="AE58" s="11"/>
      <c r="AF58" s="11"/>
      <c r="AG58" s="11"/>
      <c r="AH58" s="11"/>
      <c r="AJ58" s="12"/>
      <c r="AK58" s="12"/>
      <c r="AL58" s="12"/>
      <c r="AM58" s="12"/>
      <c r="AO58" s="13"/>
      <c r="AP58" s="13"/>
      <c r="AQ58" s="13"/>
      <c r="AR58" s="13"/>
      <c r="AY58" s="12"/>
    </row>
    <row r="59" spans="1:51" ht="12.75" x14ac:dyDescent="0.2">
      <c r="A59" s="1"/>
      <c r="B59" s="7"/>
      <c r="C59" s="8"/>
      <c r="D59" s="1"/>
      <c r="E59" s="1"/>
      <c r="F59" s="1"/>
      <c r="G59" s="1"/>
      <c r="H59" s="1"/>
      <c r="I59" s="2"/>
      <c r="J59" s="1"/>
      <c r="K59" s="1"/>
      <c r="L59" s="9"/>
      <c r="M59" s="1"/>
      <c r="N59" s="1"/>
      <c r="O59" s="1"/>
      <c r="P59" s="10"/>
      <c r="Q59" s="10"/>
      <c r="R59" s="10"/>
      <c r="S59" s="10"/>
      <c r="U59" s="7"/>
      <c r="V59" s="7"/>
      <c r="W59" s="7"/>
      <c r="X59" s="7"/>
      <c r="Z59" s="2"/>
      <c r="AA59" s="2"/>
      <c r="AB59" s="2"/>
      <c r="AC59" s="2"/>
      <c r="AE59" s="11"/>
      <c r="AF59" s="11"/>
      <c r="AG59" s="11"/>
      <c r="AH59" s="11"/>
      <c r="AJ59" s="12"/>
      <c r="AK59" s="12"/>
      <c r="AL59" s="12"/>
      <c r="AM59" s="12"/>
      <c r="AO59" s="13"/>
      <c r="AP59" s="13"/>
      <c r="AQ59" s="13"/>
      <c r="AR59" s="13"/>
      <c r="AY59" s="12"/>
    </row>
    <row r="60" spans="1:51" ht="12.75" x14ac:dyDescent="0.2">
      <c r="A60" s="1"/>
      <c r="B60" s="7"/>
      <c r="C60" s="8"/>
      <c r="D60" s="1"/>
      <c r="E60" s="1"/>
      <c r="F60" s="1"/>
      <c r="G60" s="1"/>
      <c r="H60" s="1"/>
      <c r="I60" s="2"/>
      <c r="J60" s="1"/>
      <c r="K60" s="1"/>
      <c r="L60" s="9"/>
      <c r="M60" s="1"/>
      <c r="N60" s="1"/>
      <c r="O60" s="1"/>
      <c r="P60" s="10"/>
      <c r="Q60" s="10"/>
      <c r="R60" s="10"/>
      <c r="S60" s="10"/>
      <c r="U60" s="7"/>
      <c r="V60" s="7"/>
      <c r="W60" s="7"/>
      <c r="X60" s="7"/>
      <c r="Z60" s="2"/>
      <c r="AA60" s="2"/>
      <c r="AB60" s="2"/>
      <c r="AC60" s="2"/>
      <c r="AE60" s="11"/>
      <c r="AF60" s="11"/>
      <c r="AG60" s="11"/>
      <c r="AH60" s="11"/>
      <c r="AJ60" s="12"/>
      <c r="AK60" s="12"/>
      <c r="AL60" s="12"/>
      <c r="AM60" s="12"/>
      <c r="AO60" s="13"/>
      <c r="AP60" s="13"/>
      <c r="AQ60" s="13"/>
      <c r="AR60" s="13"/>
      <c r="AY60" s="12"/>
    </row>
    <row r="61" spans="1:51" ht="12.75" x14ac:dyDescent="0.2">
      <c r="A61" s="1"/>
      <c r="B61" s="7"/>
      <c r="C61" s="8"/>
      <c r="D61" s="1"/>
      <c r="E61" s="1"/>
      <c r="F61" s="1"/>
      <c r="G61" s="1"/>
      <c r="H61" s="1"/>
      <c r="I61" s="2"/>
      <c r="J61" s="1"/>
      <c r="K61" s="1"/>
      <c r="L61" s="9"/>
      <c r="M61" s="1"/>
      <c r="N61" s="1"/>
      <c r="O61" s="1"/>
      <c r="P61" s="10"/>
      <c r="Q61" s="10"/>
      <c r="R61" s="10"/>
      <c r="S61" s="10"/>
      <c r="U61" s="7"/>
      <c r="V61" s="7"/>
      <c r="W61" s="7"/>
      <c r="X61" s="7"/>
      <c r="Z61" s="2"/>
      <c r="AA61" s="2"/>
      <c r="AB61" s="2"/>
      <c r="AC61" s="2"/>
      <c r="AE61" s="11"/>
      <c r="AF61" s="11"/>
      <c r="AG61" s="11"/>
      <c r="AH61" s="11"/>
      <c r="AJ61" s="12"/>
      <c r="AK61" s="12"/>
      <c r="AL61" s="12"/>
      <c r="AM61" s="12"/>
      <c r="AO61" s="13"/>
      <c r="AP61" s="13"/>
      <c r="AQ61" s="13"/>
      <c r="AR61" s="13"/>
      <c r="AY61" s="12"/>
    </row>
    <row r="62" spans="1:51" ht="12.75" x14ac:dyDescent="0.2">
      <c r="A62" s="1"/>
      <c r="B62" s="7"/>
      <c r="C62" s="8"/>
      <c r="D62" s="1"/>
      <c r="E62" s="1"/>
      <c r="F62" s="1"/>
      <c r="G62" s="1"/>
      <c r="H62" s="1"/>
      <c r="I62" s="2"/>
      <c r="J62" s="1"/>
      <c r="K62" s="1"/>
      <c r="L62" s="9"/>
      <c r="M62" s="1"/>
      <c r="N62" s="1"/>
      <c r="O62" s="1"/>
      <c r="P62" s="10"/>
      <c r="Q62" s="10"/>
      <c r="R62" s="10"/>
      <c r="S62" s="10"/>
      <c r="U62" s="7"/>
      <c r="V62" s="7"/>
      <c r="W62" s="7"/>
      <c r="X62" s="7"/>
      <c r="Z62" s="2"/>
      <c r="AA62" s="2"/>
      <c r="AB62" s="2"/>
      <c r="AC62" s="2"/>
      <c r="AE62" s="11"/>
      <c r="AF62" s="11"/>
      <c r="AG62" s="11"/>
      <c r="AH62" s="11"/>
      <c r="AJ62" s="12"/>
      <c r="AK62" s="12"/>
      <c r="AL62" s="12"/>
      <c r="AM62" s="12"/>
      <c r="AO62" s="13"/>
      <c r="AP62" s="13"/>
      <c r="AQ62" s="13"/>
      <c r="AR62" s="13"/>
      <c r="AY62" s="12"/>
    </row>
    <row r="63" spans="1:51" ht="12.75" x14ac:dyDescent="0.2">
      <c r="A63" s="1"/>
      <c r="B63" s="7"/>
      <c r="C63" s="8"/>
      <c r="D63" s="1"/>
      <c r="E63" s="1"/>
      <c r="F63" s="1"/>
      <c r="G63" s="1"/>
      <c r="H63" s="1"/>
      <c r="I63" s="2"/>
      <c r="J63" s="1"/>
      <c r="K63" s="1"/>
      <c r="L63" s="9"/>
      <c r="M63" s="1"/>
      <c r="N63" s="1"/>
      <c r="O63" s="1"/>
      <c r="P63" s="10"/>
      <c r="Q63" s="10"/>
      <c r="R63" s="10"/>
      <c r="S63" s="10"/>
      <c r="U63" s="7"/>
      <c r="V63" s="7"/>
      <c r="W63" s="7"/>
      <c r="X63" s="7"/>
      <c r="Z63" s="2"/>
      <c r="AA63" s="2"/>
      <c r="AB63" s="2"/>
      <c r="AC63" s="2"/>
      <c r="AE63" s="11"/>
      <c r="AF63" s="11"/>
      <c r="AG63" s="11"/>
      <c r="AH63" s="11"/>
      <c r="AJ63" s="12"/>
      <c r="AK63" s="12"/>
      <c r="AL63" s="12"/>
      <c r="AM63" s="12"/>
      <c r="AO63" s="13"/>
      <c r="AP63" s="13"/>
      <c r="AQ63" s="13"/>
      <c r="AR63" s="13"/>
      <c r="AY63" s="12"/>
    </row>
    <row r="64" spans="1:51" ht="12.75" x14ac:dyDescent="0.2">
      <c r="A64" s="1"/>
      <c r="B64" s="7"/>
      <c r="C64" s="8"/>
      <c r="D64" s="1"/>
      <c r="E64" s="1"/>
      <c r="F64" s="1"/>
      <c r="G64" s="1"/>
      <c r="H64" s="1"/>
      <c r="I64" s="2"/>
      <c r="J64" s="1"/>
      <c r="K64" s="1"/>
      <c r="L64" s="9"/>
      <c r="M64" s="1"/>
      <c r="N64" s="1"/>
      <c r="O64" s="1"/>
      <c r="P64" s="10"/>
      <c r="Q64" s="10"/>
      <c r="R64" s="10"/>
      <c r="S64" s="10"/>
      <c r="U64" s="7"/>
      <c r="V64" s="7"/>
      <c r="W64" s="7"/>
      <c r="X64" s="7"/>
      <c r="Z64" s="2"/>
      <c r="AA64" s="2"/>
      <c r="AB64" s="2"/>
      <c r="AC64" s="2"/>
      <c r="AE64" s="11"/>
      <c r="AF64" s="11"/>
      <c r="AG64" s="11"/>
      <c r="AH64" s="11"/>
      <c r="AJ64" s="12"/>
      <c r="AK64" s="12"/>
      <c r="AL64" s="12"/>
      <c r="AM64" s="12"/>
      <c r="AO64" s="13"/>
      <c r="AP64" s="13"/>
      <c r="AQ64" s="13"/>
      <c r="AR64" s="13"/>
      <c r="AY64" s="12"/>
    </row>
    <row r="65" spans="1:51" ht="12.75" x14ac:dyDescent="0.2">
      <c r="A65" s="1"/>
      <c r="B65" s="7"/>
      <c r="C65" s="8"/>
      <c r="D65" s="1"/>
      <c r="E65" s="1"/>
      <c r="F65" s="1"/>
      <c r="G65" s="1"/>
      <c r="H65" s="1"/>
      <c r="I65" s="2"/>
      <c r="J65" s="1"/>
      <c r="K65" s="1"/>
      <c r="L65" s="9"/>
      <c r="M65" s="1"/>
      <c r="N65" s="1"/>
      <c r="O65" s="1"/>
      <c r="P65" s="10"/>
      <c r="Q65" s="10"/>
      <c r="R65" s="10"/>
      <c r="S65" s="10"/>
      <c r="U65" s="7"/>
      <c r="V65" s="7"/>
      <c r="W65" s="7"/>
      <c r="X65" s="7"/>
      <c r="Z65" s="2"/>
      <c r="AA65" s="2"/>
      <c r="AB65" s="2"/>
      <c r="AC65" s="2"/>
      <c r="AE65" s="11"/>
      <c r="AF65" s="11"/>
      <c r="AG65" s="11"/>
      <c r="AH65" s="11"/>
      <c r="AJ65" s="12"/>
      <c r="AK65" s="12"/>
      <c r="AL65" s="12"/>
      <c r="AM65" s="12"/>
      <c r="AO65" s="13"/>
      <c r="AP65" s="13"/>
      <c r="AQ65" s="13"/>
      <c r="AR65" s="13"/>
      <c r="AY65" s="12"/>
    </row>
    <row r="66" spans="1:51" ht="12.75" x14ac:dyDescent="0.2">
      <c r="A66" s="1"/>
      <c r="B66" s="7"/>
      <c r="C66" s="8"/>
      <c r="D66" s="1"/>
      <c r="E66" s="1"/>
      <c r="F66" s="1"/>
      <c r="G66" s="1"/>
      <c r="H66" s="1"/>
      <c r="I66" s="2"/>
      <c r="J66" s="1"/>
      <c r="K66" s="1"/>
      <c r="L66" s="9"/>
      <c r="M66" s="1"/>
      <c r="N66" s="1"/>
      <c r="O66" s="1"/>
      <c r="P66" s="10"/>
      <c r="Q66" s="10"/>
      <c r="R66" s="10"/>
      <c r="S66" s="10"/>
      <c r="U66" s="7"/>
      <c r="V66" s="7"/>
      <c r="W66" s="7"/>
      <c r="X66" s="7"/>
      <c r="Z66" s="2"/>
      <c r="AA66" s="2"/>
      <c r="AB66" s="2"/>
      <c r="AC66" s="2"/>
      <c r="AE66" s="11"/>
      <c r="AF66" s="11"/>
      <c r="AG66" s="11"/>
      <c r="AH66" s="11"/>
      <c r="AJ66" s="12"/>
      <c r="AK66" s="12"/>
      <c r="AL66" s="12"/>
      <c r="AM66" s="12"/>
      <c r="AO66" s="13"/>
      <c r="AP66" s="13"/>
      <c r="AQ66" s="13"/>
      <c r="AR66" s="13"/>
      <c r="AY66" s="12"/>
    </row>
    <row r="67" spans="1:51" ht="12.75" x14ac:dyDescent="0.2">
      <c r="A67" s="1"/>
      <c r="B67" s="7"/>
      <c r="C67" s="8"/>
      <c r="D67" s="1"/>
      <c r="E67" s="1"/>
      <c r="F67" s="1"/>
      <c r="G67" s="1"/>
      <c r="H67" s="1"/>
      <c r="I67" s="2"/>
      <c r="J67" s="1"/>
      <c r="K67" s="1"/>
      <c r="L67" s="9"/>
      <c r="M67" s="1"/>
      <c r="N67" s="1"/>
      <c r="O67" s="1"/>
      <c r="P67" s="10"/>
      <c r="Q67" s="10"/>
      <c r="R67" s="10"/>
      <c r="S67" s="10"/>
      <c r="U67" s="7"/>
      <c r="V67" s="7"/>
      <c r="W67" s="7"/>
      <c r="X67" s="7"/>
      <c r="Z67" s="2"/>
      <c r="AA67" s="2"/>
      <c r="AB67" s="2"/>
      <c r="AC67" s="2"/>
      <c r="AE67" s="11"/>
      <c r="AF67" s="11"/>
      <c r="AG67" s="11"/>
      <c r="AH67" s="11"/>
      <c r="AJ67" s="12"/>
      <c r="AK67" s="12"/>
      <c r="AL67" s="12"/>
      <c r="AM67" s="12"/>
      <c r="AO67" s="13"/>
      <c r="AP67" s="13"/>
      <c r="AQ67" s="13"/>
      <c r="AR67" s="13"/>
      <c r="AY67" s="12"/>
    </row>
    <row r="68" spans="1:51" ht="12.75" x14ac:dyDescent="0.2">
      <c r="A68" s="1"/>
      <c r="B68" s="7"/>
      <c r="C68" s="8"/>
      <c r="D68" s="1"/>
      <c r="E68" s="1"/>
      <c r="F68" s="1"/>
      <c r="G68" s="1"/>
      <c r="H68" s="1"/>
      <c r="I68" s="2"/>
      <c r="J68" s="1"/>
      <c r="K68" s="1"/>
      <c r="L68" s="9"/>
      <c r="M68" s="1"/>
      <c r="N68" s="1"/>
      <c r="O68" s="1"/>
      <c r="P68" s="10"/>
      <c r="Q68" s="10"/>
      <c r="R68" s="10"/>
      <c r="S68" s="10"/>
      <c r="U68" s="7"/>
      <c r="V68" s="7"/>
      <c r="W68" s="7"/>
      <c r="X68" s="7"/>
      <c r="Z68" s="2"/>
      <c r="AA68" s="2"/>
      <c r="AB68" s="2"/>
      <c r="AC68" s="2"/>
      <c r="AE68" s="11"/>
      <c r="AF68" s="11"/>
      <c r="AG68" s="11"/>
      <c r="AH68" s="11"/>
      <c r="AJ68" s="12"/>
      <c r="AK68" s="12"/>
      <c r="AL68" s="12"/>
      <c r="AM68" s="12"/>
      <c r="AO68" s="13"/>
      <c r="AP68" s="13"/>
      <c r="AQ68" s="13"/>
      <c r="AR68" s="13"/>
      <c r="AY68" s="12"/>
    </row>
    <row r="69" spans="1:51" ht="12.75" x14ac:dyDescent="0.2">
      <c r="A69" s="1"/>
      <c r="B69" s="7"/>
      <c r="C69" s="8"/>
      <c r="D69" s="1"/>
      <c r="E69" s="1"/>
      <c r="F69" s="1"/>
      <c r="G69" s="1"/>
      <c r="H69" s="1"/>
      <c r="I69" s="2"/>
      <c r="J69" s="1"/>
      <c r="K69" s="1"/>
      <c r="L69" s="9"/>
      <c r="M69" s="1"/>
      <c r="N69" s="1"/>
      <c r="O69" s="1"/>
      <c r="P69" s="10"/>
      <c r="Q69" s="10"/>
      <c r="R69" s="10"/>
      <c r="S69" s="10"/>
      <c r="U69" s="7"/>
      <c r="V69" s="7"/>
      <c r="W69" s="7"/>
      <c r="X69" s="7"/>
      <c r="Z69" s="2"/>
      <c r="AA69" s="2"/>
      <c r="AB69" s="2"/>
      <c r="AC69" s="2"/>
      <c r="AE69" s="11"/>
      <c r="AF69" s="11"/>
      <c r="AG69" s="11"/>
      <c r="AH69" s="11"/>
      <c r="AJ69" s="12"/>
      <c r="AK69" s="12"/>
      <c r="AL69" s="12"/>
      <c r="AM69" s="12"/>
      <c r="AO69" s="13"/>
      <c r="AP69" s="13"/>
      <c r="AQ69" s="13"/>
      <c r="AR69" s="13"/>
      <c r="AY69" s="12"/>
    </row>
    <row r="70" spans="1:51" ht="12.75" x14ac:dyDescent="0.2">
      <c r="A70" s="1"/>
      <c r="B70" s="7"/>
      <c r="C70" s="8"/>
      <c r="D70" s="1"/>
      <c r="E70" s="1"/>
      <c r="F70" s="1"/>
      <c r="G70" s="1"/>
      <c r="H70" s="1"/>
      <c r="I70" s="2"/>
      <c r="J70" s="1"/>
      <c r="K70" s="1"/>
      <c r="L70" s="9"/>
      <c r="M70" s="1"/>
      <c r="N70" s="1"/>
      <c r="O70" s="1"/>
      <c r="P70" s="10"/>
      <c r="Q70" s="10"/>
      <c r="R70" s="10"/>
      <c r="S70" s="10"/>
      <c r="U70" s="7"/>
      <c r="V70" s="7"/>
      <c r="W70" s="7"/>
      <c r="X70" s="7"/>
      <c r="Z70" s="2"/>
      <c r="AA70" s="2"/>
      <c r="AB70" s="2"/>
      <c r="AC70" s="2"/>
      <c r="AE70" s="11"/>
      <c r="AF70" s="11"/>
      <c r="AG70" s="11"/>
      <c r="AH70" s="11"/>
      <c r="AJ70" s="12"/>
      <c r="AK70" s="12"/>
      <c r="AL70" s="12"/>
      <c r="AM70" s="12"/>
      <c r="AO70" s="13"/>
      <c r="AP70" s="13"/>
      <c r="AQ70" s="13"/>
      <c r="AR70" s="13"/>
      <c r="AY70" s="12"/>
    </row>
    <row r="71" spans="1:51" ht="12.75" x14ac:dyDescent="0.2">
      <c r="A71" s="1"/>
      <c r="B71" s="7"/>
      <c r="C71" s="8"/>
      <c r="D71" s="1"/>
      <c r="E71" s="1"/>
      <c r="F71" s="1"/>
      <c r="G71" s="1"/>
      <c r="H71" s="1"/>
      <c r="I71" s="2"/>
      <c r="J71" s="1"/>
      <c r="K71" s="1"/>
      <c r="L71" s="9"/>
      <c r="M71" s="1"/>
      <c r="N71" s="1"/>
      <c r="O71" s="1"/>
      <c r="P71" s="10"/>
      <c r="Q71" s="10"/>
      <c r="R71" s="10"/>
      <c r="S71" s="10"/>
      <c r="U71" s="7"/>
      <c r="V71" s="7"/>
      <c r="W71" s="7"/>
      <c r="X71" s="7"/>
      <c r="Z71" s="2"/>
      <c r="AA71" s="2"/>
      <c r="AB71" s="2"/>
      <c r="AC71" s="2"/>
      <c r="AE71" s="11"/>
      <c r="AF71" s="11"/>
      <c r="AG71" s="11"/>
      <c r="AH71" s="11"/>
      <c r="AJ71" s="12"/>
      <c r="AK71" s="12"/>
      <c r="AL71" s="12"/>
      <c r="AM71" s="12"/>
      <c r="AO71" s="13"/>
      <c r="AP71" s="13"/>
      <c r="AQ71" s="13"/>
      <c r="AR71" s="13"/>
      <c r="AY71" s="12"/>
    </row>
    <row r="72" spans="1:51" ht="12.75" x14ac:dyDescent="0.2">
      <c r="A72" s="1"/>
      <c r="B72" s="7"/>
      <c r="C72" s="8"/>
      <c r="D72" s="1"/>
      <c r="E72" s="1"/>
      <c r="F72" s="1"/>
      <c r="G72" s="1"/>
      <c r="H72" s="1"/>
      <c r="I72" s="2"/>
      <c r="J72" s="1"/>
      <c r="K72" s="1"/>
      <c r="L72" s="9"/>
      <c r="M72" s="1"/>
      <c r="N72" s="1"/>
      <c r="O72" s="1"/>
      <c r="P72" s="10"/>
      <c r="Q72" s="10"/>
      <c r="R72" s="10"/>
      <c r="S72" s="10"/>
      <c r="U72" s="7"/>
      <c r="V72" s="7"/>
      <c r="W72" s="7"/>
      <c r="X72" s="7"/>
      <c r="Z72" s="2"/>
      <c r="AA72" s="2"/>
      <c r="AB72" s="2"/>
      <c r="AC72" s="2"/>
      <c r="AE72" s="11"/>
      <c r="AF72" s="11"/>
      <c r="AG72" s="11"/>
      <c r="AH72" s="11"/>
      <c r="AJ72" s="12"/>
      <c r="AK72" s="12"/>
      <c r="AL72" s="12"/>
      <c r="AM72" s="12"/>
      <c r="AO72" s="13"/>
      <c r="AP72" s="13"/>
      <c r="AQ72" s="13"/>
      <c r="AR72" s="13"/>
      <c r="AY72" s="12"/>
    </row>
    <row r="73" spans="1:51" ht="12.75" x14ac:dyDescent="0.2">
      <c r="A73" s="1"/>
      <c r="B73" s="7"/>
      <c r="C73" s="8"/>
      <c r="D73" s="1"/>
      <c r="E73" s="1"/>
      <c r="F73" s="1"/>
      <c r="G73" s="1"/>
      <c r="H73" s="1"/>
      <c r="I73" s="2"/>
      <c r="J73" s="1"/>
      <c r="K73" s="1"/>
      <c r="L73" s="9"/>
      <c r="M73" s="1"/>
      <c r="N73" s="1"/>
      <c r="O73" s="1"/>
      <c r="P73" s="10"/>
      <c r="Q73" s="10"/>
      <c r="R73" s="10"/>
      <c r="S73" s="10"/>
      <c r="U73" s="7"/>
      <c r="V73" s="7"/>
      <c r="W73" s="7"/>
      <c r="X73" s="7"/>
      <c r="Z73" s="2"/>
      <c r="AA73" s="2"/>
      <c r="AB73" s="2"/>
      <c r="AC73" s="2"/>
      <c r="AE73" s="11"/>
      <c r="AF73" s="11"/>
      <c r="AG73" s="11"/>
      <c r="AH73" s="11"/>
      <c r="AJ73" s="12"/>
      <c r="AK73" s="12"/>
      <c r="AL73" s="12"/>
      <c r="AM73" s="12"/>
      <c r="AO73" s="13"/>
      <c r="AP73" s="13"/>
      <c r="AQ73" s="13"/>
      <c r="AR73" s="13"/>
      <c r="AY73" s="12"/>
    </row>
    <row r="74" spans="1:51" ht="12.75" x14ac:dyDescent="0.2">
      <c r="A74" s="1"/>
      <c r="B74" s="7"/>
      <c r="C74" s="8"/>
      <c r="D74" s="1"/>
      <c r="E74" s="1"/>
      <c r="F74" s="1"/>
      <c r="G74" s="1"/>
      <c r="H74" s="1"/>
      <c r="I74" s="2"/>
      <c r="J74" s="1"/>
      <c r="K74" s="1"/>
      <c r="L74" s="9"/>
      <c r="M74" s="1"/>
      <c r="N74" s="1"/>
      <c r="O74" s="1"/>
      <c r="P74" s="10"/>
      <c r="Q74" s="10"/>
      <c r="R74" s="10"/>
      <c r="S74" s="10"/>
      <c r="U74" s="7"/>
      <c r="V74" s="7"/>
      <c r="W74" s="7"/>
      <c r="X74" s="7"/>
      <c r="Z74" s="2"/>
      <c r="AA74" s="2"/>
      <c r="AB74" s="2"/>
      <c r="AC74" s="2"/>
      <c r="AE74" s="11"/>
      <c r="AF74" s="11"/>
      <c r="AG74" s="11"/>
      <c r="AH74" s="11"/>
      <c r="AJ74" s="12"/>
      <c r="AK74" s="12"/>
      <c r="AL74" s="12"/>
      <c r="AM74" s="12"/>
      <c r="AO74" s="13"/>
      <c r="AP74" s="13"/>
      <c r="AQ74" s="13"/>
      <c r="AR74" s="13"/>
      <c r="AY74" s="12"/>
    </row>
    <row r="75" spans="1:51" ht="12.75" x14ac:dyDescent="0.2">
      <c r="A75" s="1"/>
      <c r="B75" s="7"/>
      <c r="C75" s="8"/>
      <c r="D75" s="1"/>
      <c r="E75" s="1"/>
      <c r="F75" s="1"/>
      <c r="G75" s="1"/>
      <c r="H75" s="1"/>
      <c r="I75" s="2"/>
      <c r="J75" s="1"/>
      <c r="K75" s="1"/>
      <c r="L75" s="9"/>
      <c r="M75" s="1"/>
      <c r="N75" s="1"/>
      <c r="O75" s="1"/>
      <c r="P75" s="10"/>
      <c r="Q75" s="10"/>
      <c r="R75" s="10"/>
      <c r="S75" s="10"/>
      <c r="U75" s="7"/>
      <c r="V75" s="7"/>
      <c r="W75" s="7"/>
      <c r="X75" s="7"/>
      <c r="Z75" s="2"/>
      <c r="AA75" s="2"/>
      <c r="AB75" s="2"/>
      <c r="AC75" s="2"/>
      <c r="AE75" s="11"/>
      <c r="AF75" s="11"/>
      <c r="AG75" s="11"/>
      <c r="AH75" s="11"/>
      <c r="AJ75" s="12"/>
      <c r="AK75" s="12"/>
      <c r="AL75" s="12"/>
      <c r="AM75" s="12"/>
      <c r="AO75" s="13"/>
      <c r="AP75" s="13"/>
      <c r="AQ75" s="13"/>
      <c r="AR75" s="13"/>
      <c r="AY75" s="12"/>
    </row>
    <row r="76" spans="1:51" ht="12.75" x14ac:dyDescent="0.2">
      <c r="A76" s="1"/>
      <c r="B76" s="7"/>
      <c r="C76" s="8"/>
      <c r="D76" s="1"/>
      <c r="E76" s="1"/>
      <c r="F76" s="1"/>
      <c r="G76" s="1"/>
      <c r="H76" s="1"/>
      <c r="I76" s="2"/>
      <c r="J76" s="1"/>
      <c r="K76" s="1"/>
      <c r="L76" s="9"/>
      <c r="M76" s="1"/>
      <c r="N76" s="1"/>
      <c r="O76" s="1"/>
      <c r="P76" s="10"/>
      <c r="Q76" s="10"/>
      <c r="R76" s="10"/>
      <c r="S76" s="10"/>
      <c r="U76" s="7"/>
      <c r="V76" s="7"/>
      <c r="W76" s="7"/>
      <c r="X76" s="7"/>
      <c r="Z76" s="2"/>
      <c r="AA76" s="2"/>
      <c r="AB76" s="2"/>
      <c r="AC76" s="2"/>
      <c r="AE76" s="11"/>
      <c r="AF76" s="11"/>
      <c r="AG76" s="11"/>
      <c r="AH76" s="11"/>
      <c r="AJ76" s="12"/>
      <c r="AK76" s="12"/>
      <c r="AL76" s="12"/>
      <c r="AM76" s="12"/>
      <c r="AO76" s="13"/>
      <c r="AP76" s="13"/>
      <c r="AQ76" s="13"/>
      <c r="AR76" s="13"/>
      <c r="AY76" s="12"/>
    </row>
    <row r="77" spans="1:51" ht="12.75" x14ac:dyDescent="0.2">
      <c r="A77" s="1"/>
      <c r="B77" s="7"/>
      <c r="C77" s="8"/>
      <c r="D77" s="1"/>
      <c r="E77" s="1"/>
      <c r="F77" s="1"/>
      <c r="G77" s="1"/>
      <c r="H77" s="1"/>
      <c r="I77" s="2"/>
      <c r="J77" s="1"/>
      <c r="K77" s="1"/>
      <c r="L77" s="9"/>
      <c r="M77" s="1"/>
      <c r="N77" s="1"/>
      <c r="O77" s="1"/>
      <c r="P77" s="10"/>
      <c r="Q77" s="10"/>
      <c r="R77" s="10"/>
      <c r="S77" s="10"/>
      <c r="U77" s="7"/>
      <c r="V77" s="7"/>
      <c r="W77" s="7"/>
      <c r="X77" s="7"/>
      <c r="Z77" s="2"/>
      <c r="AA77" s="2"/>
      <c r="AB77" s="2"/>
      <c r="AC77" s="2"/>
      <c r="AE77" s="11"/>
      <c r="AF77" s="11"/>
      <c r="AG77" s="11"/>
      <c r="AH77" s="11"/>
      <c r="AJ77" s="12"/>
      <c r="AK77" s="12"/>
      <c r="AL77" s="12"/>
      <c r="AM77" s="12"/>
      <c r="AO77" s="13"/>
      <c r="AP77" s="13"/>
      <c r="AQ77" s="13"/>
      <c r="AR77" s="13"/>
      <c r="AY77" s="12"/>
    </row>
    <row r="78" spans="1:51" ht="12.75" x14ac:dyDescent="0.2">
      <c r="A78" s="1"/>
      <c r="B78" s="7"/>
      <c r="C78" s="8"/>
      <c r="D78" s="1"/>
      <c r="E78" s="1"/>
      <c r="F78" s="1"/>
      <c r="G78" s="1"/>
      <c r="H78" s="1"/>
      <c r="I78" s="2"/>
      <c r="J78" s="1"/>
      <c r="K78" s="1"/>
      <c r="L78" s="9"/>
      <c r="M78" s="1"/>
      <c r="N78" s="1"/>
      <c r="O78" s="1"/>
      <c r="P78" s="10"/>
      <c r="Q78" s="10"/>
      <c r="R78" s="10"/>
      <c r="S78" s="10"/>
      <c r="U78" s="7"/>
      <c r="V78" s="7"/>
      <c r="W78" s="7"/>
      <c r="X78" s="7"/>
      <c r="Z78" s="2"/>
      <c r="AA78" s="2"/>
      <c r="AB78" s="2"/>
      <c r="AC78" s="2"/>
      <c r="AE78" s="11"/>
      <c r="AF78" s="11"/>
      <c r="AG78" s="11"/>
      <c r="AH78" s="11"/>
      <c r="AJ78" s="12"/>
      <c r="AK78" s="12"/>
      <c r="AL78" s="12"/>
      <c r="AM78" s="12"/>
      <c r="AO78" s="13"/>
      <c r="AP78" s="13"/>
      <c r="AQ78" s="13"/>
      <c r="AR78" s="13"/>
      <c r="AY78" s="12"/>
    </row>
    <row r="79" spans="1:51" ht="12.75" x14ac:dyDescent="0.2">
      <c r="A79" s="1"/>
      <c r="B79" s="7"/>
      <c r="C79" s="8"/>
      <c r="D79" s="1"/>
      <c r="E79" s="1"/>
      <c r="F79" s="1"/>
      <c r="G79" s="1"/>
      <c r="H79" s="1"/>
      <c r="I79" s="2"/>
      <c r="J79" s="1"/>
      <c r="K79" s="1"/>
      <c r="L79" s="9"/>
      <c r="M79" s="1"/>
      <c r="N79" s="1"/>
      <c r="O79" s="1"/>
      <c r="P79" s="10"/>
      <c r="Q79" s="10"/>
      <c r="R79" s="10"/>
      <c r="S79" s="10"/>
      <c r="U79" s="7"/>
      <c r="V79" s="7"/>
      <c r="W79" s="7"/>
      <c r="X79" s="7"/>
      <c r="Z79" s="2"/>
      <c r="AA79" s="2"/>
      <c r="AB79" s="2"/>
      <c r="AC79" s="2"/>
      <c r="AE79" s="11"/>
      <c r="AF79" s="11"/>
      <c r="AG79" s="11"/>
      <c r="AH79" s="11"/>
      <c r="AJ79" s="12"/>
      <c r="AK79" s="12"/>
      <c r="AL79" s="12"/>
      <c r="AM79" s="12"/>
      <c r="AO79" s="13"/>
      <c r="AP79" s="13"/>
      <c r="AQ79" s="13"/>
      <c r="AR79" s="13"/>
      <c r="AY79" s="12"/>
    </row>
    <row r="80" spans="1:51" ht="12.75" x14ac:dyDescent="0.2">
      <c r="A80" s="1"/>
      <c r="B80" s="7"/>
      <c r="C80" s="8"/>
      <c r="D80" s="1"/>
      <c r="E80" s="1"/>
      <c r="F80" s="1"/>
      <c r="G80" s="1"/>
      <c r="H80" s="1"/>
      <c r="I80" s="2"/>
      <c r="J80" s="1"/>
      <c r="K80" s="1"/>
      <c r="L80" s="9"/>
      <c r="M80" s="1"/>
      <c r="N80" s="1"/>
      <c r="O80" s="1"/>
      <c r="P80" s="10"/>
      <c r="Q80" s="10"/>
      <c r="R80" s="10"/>
      <c r="S80" s="10"/>
      <c r="U80" s="7"/>
      <c r="V80" s="7"/>
      <c r="W80" s="7"/>
      <c r="X80" s="7"/>
      <c r="Z80" s="2"/>
      <c r="AA80" s="2"/>
      <c r="AB80" s="2"/>
      <c r="AC80" s="2"/>
      <c r="AE80" s="11"/>
      <c r="AF80" s="11"/>
      <c r="AG80" s="11"/>
      <c r="AH80" s="11"/>
      <c r="AJ80" s="12"/>
      <c r="AK80" s="12"/>
      <c r="AL80" s="12"/>
      <c r="AM80" s="12"/>
      <c r="AO80" s="13"/>
      <c r="AP80" s="13"/>
      <c r="AQ80" s="13"/>
      <c r="AR80" s="13"/>
      <c r="AY80" s="12"/>
    </row>
    <row r="81" spans="1:51" ht="12.75" x14ac:dyDescent="0.2">
      <c r="A81" s="1"/>
      <c r="B81" s="7"/>
      <c r="C81" s="8"/>
      <c r="D81" s="1"/>
      <c r="E81" s="1"/>
      <c r="F81" s="1"/>
      <c r="G81" s="1"/>
      <c r="H81" s="1"/>
      <c r="I81" s="2"/>
      <c r="J81" s="1"/>
      <c r="K81" s="1"/>
      <c r="L81" s="9"/>
      <c r="M81" s="1"/>
      <c r="N81" s="1"/>
      <c r="O81" s="1"/>
      <c r="P81" s="10"/>
      <c r="Q81" s="10"/>
      <c r="R81" s="10"/>
      <c r="S81" s="10"/>
      <c r="U81" s="7"/>
      <c r="V81" s="7"/>
      <c r="W81" s="7"/>
      <c r="X81" s="7"/>
      <c r="Z81" s="2"/>
      <c r="AA81" s="2"/>
      <c r="AB81" s="2"/>
      <c r="AC81" s="2"/>
      <c r="AE81" s="11"/>
      <c r="AF81" s="11"/>
      <c r="AG81" s="11"/>
      <c r="AH81" s="11"/>
      <c r="AJ81" s="12"/>
      <c r="AK81" s="12"/>
      <c r="AL81" s="12"/>
      <c r="AM81" s="12"/>
      <c r="AO81" s="13"/>
      <c r="AP81" s="13"/>
      <c r="AQ81" s="13"/>
      <c r="AR81" s="13"/>
      <c r="AY81" s="12"/>
    </row>
    <row r="82" spans="1:51" ht="12.75" x14ac:dyDescent="0.2">
      <c r="A82" s="1"/>
      <c r="B82" s="7"/>
      <c r="C82" s="8"/>
      <c r="D82" s="1"/>
      <c r="E82" s="1"/>
      <c r="F82" s="1"/>
      <c r="G82" s="1"/>
      <c r="H82" s="1"/>
      <c r="I82" s="2"/>
      <c r="J82" s="1"/>
      <c r="K82" s="1"/>
      <c r="L82" s="9"/>
      <c r="M82" s="1"/>
      <c r="N82" s="1"/>
      <c r="O82" s="1"/>
      <c r="P82" s="10"/>
      <c r="Q82" s="10"/>
      <c r="R82" s="10"/>
      <c r="S82" s="10"/>
      <c r="U82" s="7"/>
      <c r="V82" s="7"/>
      <c r="W82" s="7"/>
      <c r="X82" s="7"/>
      <c r="Z82" s="2"/>
      <c r="AA82" s="2"/>
      <c r="AB82" s="2"/>
      <c r="AC82" s="2"/>
      <c r="AE82" s="11"/>
      <c r="AF82" s="11"/>
      <c r="AG82" s="11"/>
      <c r="AH82" s="11"/>
      <c r="AJ82" s="12"/>
      <c r="AK82" s="12"/>
      <c r="AL82" s="12"/>
      <c r="AM82" s="12"/>
      <c r="AO82" s="13"/>
      <c r="AP82" s="13"/>
      <c r="AQ82" s="13"/>
      <c r="AR82" s="13"/>
      <c r="AY82" s="12"/>
    </row>
    <row r="83" spans="1:51" ht="12.75" x14ac:dyDescent="0.2">
      <c r="A83" s="1"/>
      <c r="B83" s="7"/>
      <c r="C83" s="8"/>
      <c r="D83" s="1"/>
      <c r="E83" s="1"/>
      <c r="F83" s="1"/>
      <c r="G83" s="1"/>
      <c r="H83" s="1"/>
      <c r="I83" s="2"/>
      <c r="J83" s="1"/>
      <c r="K83" s="1"/>
      <c r="L83" s="9"/>
      <c r="M83" s="1"/>
      <c r="N83" s="1"/>
      <c r="O83" s="1"/>
      <c r="P83" s="10"/>
      <c r="Q83" s="10"/>
      <c r="R83" s="10"/>
      <c r="S83" s="10"/>
      <c r="U83" s="7"/>
      <c r="V83" s="7"/>
      <c r="W83" s="7"/>
      <c r="X83" s="7"/>
      <c r="Z83" s="2"/>
      <c r="AA83" s="2"/>
      <c r="AB83" s="2"/>
      <c r="AC83" s="2"/>
      <c r="AE83" s="11"/>
      <c r="AF83" s="11"/>
      <c r="AG83" s="11"/>
      <c r="AH83" s="11"/>
      <c r="AJ83" s="12"/>
      <c r="AK83" s="12"/>
      <c r="AL83" s="12"/>
      <c r="AM83" s="12"/>
      <c r="AO83" s="13"/>
      <c r="AP83" s="13"/>
      <c r="AQ83" s="13"/>
      <c r="AR83" s="13"/>
      <c r="AY83" s="12"/>
    </row>
    <row r="84" spans="1:51" ht="12.75" x14ac:dyDescent="0.2">
      <c r="A84" s="1"/>
      <c r="B84" s="7"/>
      <c r="C84" s="8"/>
      <c r="D84" s="1"/>
      <c r="E84" s="1"/>
      <c r="F84" s="1"/>
      <c r="G84" s="1"/>
      <c r="H84" s="1"/>
      <c r="I84" s="2"/>
      <c r="J84" s="1"/>
      <c r="K84" s="1"/>
      <c r="L84" s="9"/>
      <c r="M84" s="1"/>
      <c r="N84" s="1"/>
      <c r="O84" s="1"/>
      <c r="P84" s="10"/>
      <c r="Q84" s="10"/>
      <c r="R84" s="10"/>
      <c r="S84" s="10"/>
      <c r="U84" s="7"/>
      <c r="V84" s="7"/>
      <c r="W84" s="7"/>
      <c r="X84" s="7"/>
      <c r="Z84" s="2"/>
      <c r="AA84" s="2"/>
      <c r="AB84" s="2"/>
      <c r="AC84" s="2"/>
      <c r="AE84" s="11"/>
      <c r="AF84" s="11"/>
      <c r="AG84" s="11"/>
      <c r="AH84" s="11"/>
      <c r="AJ84" s="12"/>
      <c r="AK84" s="12"/>
      <c r="AL84" s="12"/>
      <c r="AM84" s="12"/>
      <c r="AO84" s="13"/>
      <c r="AP84" s="13"/>
      <c r="AQ84" s="13"/>
      <c r="AR84" s="13"/>
      <c r="AY84" s="12"/>
    </row>
    <row r="85" spans="1:51" ht="12.75" x14ac:dyDescent="0.2">
      <c r="A85" s="1"/>
      <c r="B85" s="7"/>
      <c r="C85" s="8"/>
      <c r="D85" s="1"/>
      <c r="E85" s="1"/>
      <c r="F85" s="1"/>
      <c r="G85" s="1"/>
      <c r="H85" s="1"/>
      <c r="I85" s="2"/>
      <c r="J85" s="1"/>
      <c r="K85" s="1"/>
      <c r="L85" s="9"/>
      <c r="M85" s="1"/>
      <c r="N85" s="1"/>
      <c r="O85" s="1"/>
      <c r="P85" s="10"/>
      <c r="Q85" s="10"/>
      <c r="R85" s="10"/>
      <c r="S85" s="10"/>
      <c r="U85" s="7"/>
      <c r="V85" s="7"/>
      <c r="W85" s="7"/>
      <c r="X85" s="7"/>
      <c r="Z85" s="2"/>
      <c r="AA85" s="2"/>
      <c r="AB85" s="2"/>
      <c r="AC85" s="2"/>
      <c r="AE85" s="11"/>
      <c r="AF85" s="11"/>
      <c r="AG85" s="11"/>
      <c r="AH85" s="11"/>
      <c r="AJ85" s="12"/>
      <c r="AK85" s="12"/>
      <c r="AL85" s="12"/>
      <c r="AM85" s="12"/>
      <c r="AO85" s="13"/>
      <c r="AP85" s="13"/>
      <c r="AQ85" s="13"/>
      <c r="AR85" s="13"/>
      <c r="AY85" s="12"/>
    </row>
    <row r="86" spans="1:51" ht="12.75" x14ac:dyDescent="0.2">
      <c r="A86" s="1"/>
      <c r="B86" s="7"/>
      <c r="C86" s="8"/>
      <c r="D86" s="1"/>
      <c r="E86" s="1"/>
      <c r="F86" s="1"/>
      <c r="G86" s="1"/>
      <c r="H86" s="1"/>
      <c r="I86" s="2"/>
      <c r="J86" s="1"/>
      <c r="K86" s="1"/>
      <c r="L86" s="9"/>
      <c r="M86" s="1"/>
      <c r="N86" s="1"/>
      <c r="O86" s="1"/>
      <c r="P86" s="10"/>
      <c r="Q86" s="10"/>
      <c r="R86" s="10"/>
      <c r="S86" s="10"/>
      <c r="U86" s="7"/>
      <c r="V86" s="7"/>
      <c r="W86" s="7"/>
      <c r="X86" s="7"/>
      <c r="Z86" s="2"/>
      <c r="AA86" s="2"/>
      <c r="AB86" s="2"/>
      <c r="AC86" s="2"/>
      <c r="AE86" s="11"/>
      <c r="AF86" s="11"/>
      <c r="AG86" s="11"/>
      <c r="AH86" s="11"/>
      <c r="AJ86" s="12"/>
      <c r="AK86" s="12"/>
      <c r="AL86" s="12"/>
      <c r="AM86" s="12"/>
      <c r="AO86" s="13"/>
      <c r="AP86" s="13"/>
      <c r="AQ86" s="13"/>
      <c r="AR86" s="13"/>
      <c r="AY86" s="12"/>
    </row>
    <row r="87" spans="1:51" ht="12.75" x14ac:dyDescent="0.2">
      <c r="A87" s="1"/>
      <c r="B87" s="7"/>
      <c r="C87" s="8"/>
      <c r="D87" s="1"/>
      <c r="E87" s="1"/>
      <c r="F87" s="1"/>
      <c r="G87" s="1"/>
      <c r="H87" s="1"/>
      <c r="I87" s="2"/>
      <c r="J87" s="1"/>
      <c r="K87" s="1"/>
      <c r="L87" s="9"/>
      <c r="M87" s="1"/>
      <c r="N87" s="1"/>
      <c r="O87" s="1"/>
      <c r="P87" s="10"/>
      <c r="Q87" s="10"/>
      <c r="R87" s="10"/>
      <c r="S87" s="10"/>
      <c r="U87" s="7"/>
      <c r="V87" s="7"/>
      <c r="W87" s="7"/>
      <c r="X87" s="7"/>
      <c r="Z87" s="2"/>
      <c r="AA87" s="2"/>
      <c r="AB87" s="2"/>
      <c r="AC87" s="2"/>
      <c r="AE87" s="11"/>
      <c r="AF87" s="11"/>
      <c r="AG87" s="11"/>
      <c r="AH87" s="11"/>
      <c r="AJ87" s="12"/>
      <c r="AK87" s="12"/>
      <c r="AL87" s="12"/>
      <c r="AM87" s="12"/>
      <c r="AO87" s="13"/>
      <c r="AP87" s="13"/>
      <c r="AQ87" s="13"/>
      <c r="AR87" s="13"/>
      <c r="AY87" s="12"/>
    </row>
    <row r="88" spans="1:51" ht="12.75" x14ac:dyDescent="0.2">
      <c r="A88" s="1"/>
      <c r="B88" s="7"/>
      <c r="C88" s="8"/>
      <c r="D88" s="1"/>
      <c r="E88" s="1"/>
      <c r="F88" s="1"/>
      <c r="G88" s="1"/>
      <c r="H88" s="1"/>
      <c r="I88" s="2"/>
      <c r="J88" s="1"/>
      <c r="K88" s="1"/>
      <c r="L88" s="9"/>
      <c r="M88" s="1"/>
      <c r="N88" s="1"/>
      <c r="O88" s="1"/>
      <c r="P88" s="10"/>
      <c r="Q88" s="10"/>
      <c r="R88" s="10"/>
      <c r="S88" s="10"/>
      <c r="U88" s="7"/>
      <c r="V88" s="7"/>
      <c r="W88" s="7"/>
      <c r="X88" s="7"/>
      <c r="Z88" s="2"/>
      <c r="AA88" s="2"/>
      <c r="AB88" s="2"/>
      <c r="AC88" s="2"/>
      <c r="AE88" s="11"/>
      <c r="AF88" s="11"/>
      <c r="AG88" s="11"/>
      <c r="AH88" s="11"/>
      <c r="AJ88" s="12"/>
      <c r="AK88" s="12"/>
      <c r="AL88" s="12"/>
      <c r="AM88" s="12"/>
      <c r="AO88" s="13"/>
      <c r="AP88" s="13"/>
      <c r="AQ88" s="13"/>
      <c r="AR88" s="13"/>
      <c r="AY88" s="12"/>
    </row>
    <row r="89" spans="1:51" ht="12.75" x14ac:dyDescent="0.2">
      <c r="A89" s="1"/>
      <c r="B89" s="7"/>
      <c r="C89" s="8"/>
      <c r="D89" s="1"/>
      <c r="E89" s="1"/>
      <c r="F89" s="1"/>
      <c r="G89" s="1"/>
      <c r="H89" s="1"/>
      <c r="I89" s="2"/>
      <c r="J89" s="1"/>
      <c r="K89" s="1"/>
      <c r="L89" s="9"/>
      <c r="M89" s="1"/>
      <c r="N89" s="1"/>
      <c r="O89" s="1"/>
      <c r="P89" s="10"/>
      <c r="Q89" s="10"/>
      <c r="R89" s="10"/>
      <c r="S89" s="10"/>
      <c r="U89" s="7"/>
      <c r="V89" s="7"/>
      <c r="W89" s="7"/>
      <c r="X89" s="7"/>
      <c r="Z89" s="2"/>
      <c r="AA89" s="2"/>
      <c r="AB89" s="2"/>
      <c r="AC89" s="2"/>
      <c r="AE89" s="11"/>
      <c r="AF89" s="11"/>
      <c r="AG89" s="11"/>
      <c r="AH89" s="11"/>
      <c r="AJ89" s="12"/>
      <c r="AK89" s="12"/>
      <c r="AL89" s="12"/>
      <c r="AM89" s="12"/>
      <c r="AO89" s="13"/>
      <c r="AP89" s="13"/>
      <c r="AQ89" s="13"/>
      <c r="AR89" s="13"/>
      <c r="AY89" s="12"/>
    </row>
    <row r="90" spans="1:51" ht="12.75" x14ac:dyDescent="0.2">
      <c r="A90" s="1"/>
      <c r="B90" s="7"/>
      <c r="C90" s="8"/>
      <c r="D90" s="1"/>
      <c r="E90" s="1"/>
      <c r="F90" s="1"/>
      <c r="G90" s="1"/>
      <c r="H90" s="1"/>
      <c r="I90" s="2"/>
      <c r="J90" s="1"/>
      <c r="K90" s="1"/>
      <c r="L90" s="9"/>
      <c r="M90" s="1"/>
      <c r="N90" s="1"/>
      <c r="O90" s="1"/>
      <c r="P90" s="10"/>
      <c r="Q90" s="10"/>
      <c r="R90" s="10"/>
      <c r="S90" s="10"/>
      <c r="U90" s="7"/>
      <c r="V90" s="7"/>
      <c r="W90" s="7"/>
      <c r="X90" s="7"/>
      <c r="Z90" s="2"/>
      <c r="AA90" s="2"/>
      <c r="AB90" s="2"/>
      <c r="AC90" s="2"/>
      <c r="AE90" s="11"/>
      <c r="AF90" s="11"/>
      <c r="AG90" s="11"/>
      <c r="AH90" s="11"/>
      <c r="AJ90" s="12"/>
      <c r="AK90" s="12"/>
      <c r="AL90" s="12"/>
      <c r="AM90" s="12"/>
      <c r="AO90" s="13"/>
      <c r="AP90" s="13"/>
      <c r="AQ90" s="13"/>
      <c r="AR90" s="13"/>
      <c r="AY90" s="12"/>
    </row>
    <row r="91" spans="1:51" ht="12.75" x14ac:dyDescent="0.2">
      <c r="A91" s="1"/>
      <c r="B91" s="7"/>
      <c r="C91" s="8"/>
      <c r="D91" s="1"/>
      <c r="E91" s="1"/>
      <c r="F91" s="1"/>
      <c r="G91" s="1"/>
      <c r="H91" s="1"/>
      <c r="I91" s="2"/>
      <c r="J91" s="1"/>
      <c r="K91" s="1"/>
      <c r="L91" s="9"/>
      <c r="M91" s="1"/>
      <c r="N91" s="1"/>
      <c r="O91" s="1"/>
      <c r="P91" s="10"/>
      <c r="Q91" s="10"/>
      <c r="R91" s="10"/>
      <c r="S91" s="10"/>
      <c r="U91" s="7"/>
      <c r="V91" s="7"/>
      <c r="W91" s="7"/>
      <c r="X91" s="7"/>
      <c r="Z91" s="2"/>
      <c r="AA91" s="2"/>
      <c r="AB91" s="2"/>
      <c r="AC91" s="2"/>
      <c r="AE91" s="11"/>
      <c r="AF91" s="11"/>
      <c r="AG91" s="11"/>
      <c r="AH91" s="11"/>
      <c r="AJ91" s="12"/>
      <c r="AK91" s="12"/>
      <c r="AL91" s="12"/>
      <c r="AM91" s="12"/>
      <c r="AO91" s="13"/>
      <c r="AP91" s="13"/>
      <c r="AQ91" s="13"/>
      <c r="AR91" s="13"/>
      <c r="AY91" s="12"/>
    </row>
    <row r="92" spans="1:51" ht="12.75" x14ac:dyDescent="0.2">
      <c r="A92" s="1"/>
      <c r="B92" s="7"/>
      <c r="C92" s="8"/>
      <c r="D92" s="1"/>
      <c r="E92" s="1"/>
      <c r="F92" s="1"/>
      <c r="G92" s="1"/>
      <c r="H92" s="1"/>
      <c r="I92" s="2"/>
      <c r="J92" s="1"/>
      <c r="K92" s="1"/>
      <c r="L92" s="9"/>
      <c r="M92" s="1"/>
      <c r="N92" s="1"/>
      <c r="O92" s="1"/>
      <c r="P92" s="10"/>
      <c r="Q92" s="10"/>
      <c r="R92" s="10"/>
      <c r="S92" s="10"/>
      <c r="U92" s="7"/>
      <c r="V92" s="7"/>
      <c r="W92" s="7"/>
      <c r="X92" s="7"/>
      <c r="Z92" s="2"/>
      <c r="AA92" s="2"/>
      <c r="AB92" s="2"/>
      <c r="AC92" s="2"/>
      <c r="AE92" s="11"/>
      <c r="AF92" s="11"/>
      <c r="AG92" s="11"/>
      <c r="AH92" s="11"/>
      <c r="AJ92" s="12"/>
      <c r="AK92" s="12"/>
      <c r="AL92" s="12"/>
      <c r="AM92" s="12"/>
      <c r="AO92" s="13"/>
      <c r="AP92" s="13"/>
      <c r="AQ92" s="13"/>
      <c r="AR92" s="13"/>
      <c r="AY92" s="12"/>
    </row>
    <row r="93" spans="1:51" ht="12.75" x14ac:dyDescent="0.2">
      <c r="A93" s="1"/>
      <c r="B93" s="7"/>
      <c r="C93" s="8"/>
      <c r="D93" s="1"/>
      <c r="E93" s="1"/>
      <c r="F93" s="1"/>
      <c r="G93" s="1"/>
      <c r="H93" s="1"/>
      <c r="I93" s="2"/>
      <c r="J93" s="1"/>
      <c r="K93" s="1"/>
      <c r="L93" s="9"/>
      <c r="M93" s="1"/>
      <c r="N93" s="1"/>
      <c r="O93" s="1"/>
      <c r="P93" s="10"/>
      <c r="Q93" s="10"/>
      <c r="R93" s="10"/>
      <c r="S93" s="10"/>
      <c r="U93" s="7"/>
      <c r="V93" s="7"/>
      <c r="W93" s="7"/>
      <c r="X93" s="7"/>
      <c r="Z93" s="2"/>
      <c r="AA93" s="2"/>
      <c r="AB93" s="2"/>
      <c r="AC93" s="2"/>
      <c r="AE93" s="11"/>
      <c r="AF93" s="11"/>
      <c r="AG93" s="11"/>
      <c r="AH93" s="11"/>
      <c r="AJ93" s="12"/>
      <c r="AK93" s="12"/>
      <c r="AL93" s="12"/>
      <c r="AM93" s="12"/>
      <c r="AO93" s="13"/>
      <c r="AP93" s="13"/>
      <c r="AQ93" s="13"/>
      <c r="AR93" s="13"/>
      <c r="AY93" s="12"/>
    </row>
    <row r="94" spans="1:51" ht="12.75" x14ac:dyDescent="0.2">
      <c r="A94" s="1"/>
      <c r="B94" s="7"/>
      <c r="C94" s="8"/>
      <c r="D94" s="1"/>
      <c r="E94" s="1"/>
      <c r="F94" s="1"/>
      <c r="G94" s="1"/>
      <c r="H94" s="1"/>
      <c r="I94" s="2"/>
      <c r="J94" s="1"/>
      <c r="K94" s="1"/>
      <c r="L94" s="9"/>
      <c r="M94" s="1"/>
      <c r="N94" s="1"/>
      <c r="O94" s="1"/>
      <c r="P94" s="10"/>
      <c r="Q94" s="10"/>
      <c r="R94" s="10"/>
      <c r="S94" s="10"/>
      <c r="U94" s="7"/>
      <c r="V94" s="7"/>
      <c r="W94" s="7"/>
      <c r="X94" s="7"/>
      <c r="Z94" s="2"/>
      <c r="AA94" s="2"/>
      <c r="AB94" s="2"/>
      <c r="AC94" s="2"/>
      <c r="AE94" s="11"/>
      <c r="AF94" s="11"/>
      <c r="AG94" s="11"/>
      <c r="AH94" s="11"/>
      <c r="AJ94" s="12"/>
      <c r="AK94" s="12"/>
      <c r="AL94" s="12"/>
      <c r="AM94" s="12"/>
      <c r="AO94" s="13"/>
      <c r="AP94" s="13"/>
      <c r="AQ94" s="13"/>
      <c r="AR94" s="13"/>
      <c r="AY94" s="12"/>
    </row>
    <row r="95" spans="1:51" ht="12.75" x14ac:dyDescent="0.2">
      <c r="A95" s="1"/>
      <c r="B95" s="7"/>
      <c r="C95" s="8"/>
      <c r="D95" s="1"/>
      <c r="E95" s="1"/>
      <c r="F95" s="1"/>
      <c r="G95" s="1"/>
      <c r="H95" s="1"/>
      <c r="I95" s="2"/>
      <c r="J95" s="1"/>
      <c r="K95" s="1"/>
      <c r="L95" s="9"/>
      <c r="M95" s="1"/>
      <c r="N95" s="1"/>
      <c r="O95" s="1"/>
      <c r="P95" s="10"/>
      <c r="Q95" s="10"/>
      <c r="R95" s="10"/>
      <c r="S95" s="10"/>
      <c r="U95" s="7"/>
      <c r="V95" s="7"/>
      <c r="W95" s="7"/>
      <c r="X95" s="7"/>
      <c r="Z95" s="2"/>
      <c r="AA95" s="2"/>
      <c r="AB95" s="2"/>
      <c r="AC95" s="2"/>
      <c r="AE95" s="11"/>
      <c r="AF95" s="11"/>
      <c r="AG95" s="11"/>
      <c r="AH95" s="11"/>
      <c r="AJ95" s="12"/>
      <c r="AK95" s="12"/>
      <c r="AL95" s="12"/>
      <c r="AM95" s="12"/>
      <c r="AO95" s="13"/>
      <c r="AP95" s="13"/>
      <c r="AQ95" s="13"/>
      <c r="AR95" s="13"/>
      <c r="AY95" s="12"/>
    </row>
    <row r="96" spans="1:51" ht="12.75" x14ac:dyDescent="0.2">
      <c r="A96" s="1"/>
      <c r="B96" s="7"/>
      <c r="C96" s="8"/>
      <c r="D96" s="1"/>
      <c r="E96" s="1"/>
      <c r="F96" s="1"/>
      <c r="G96" s="1"/>
      <c r="H96" s="1"/>
      <c r="I96" s="2"/>
      <c r="J96" s="1"/>
      <c r="K96" s="1"/>
      <c r="L96" s="9"/>
      <c r="M96" s="1"/>
      <c r="N96" s="1"/>
      <c r="O96" s="1"/>
      <c r="P96" s="10"/>
      <c r="Q96" s="10"/>
      <c r="R96" s="10"/>
      <c r="S96" s="10"/>
      <c r="U96" s="7"/>
      <c r="V96" s="7"/>
      <c r="W96" s="7"/>
      <c r="X96" s="7"/>
      <c r="Z96" s="2"/>
      <c r="AA96" s="2"/>
      <c r="AB96" s="2"/>
      <c r="AC96" s="2"/>
      <c r="AE96" s="11"/>
      <c r="AF96" s="11"/>
      <c r="AG96" s="11"/>
      <c r="AH96" s="11"/>
      <c r="AJ96" s="12"/>
      <c r="AK96" s="12"/>
      <c r="AL96" s="12"/>
      <c r="AM96" s="12"/>
      <c r="AO96" s="13"/>
      <c r="AP96" s="13"/>
      <c r="AQ96" s="13"/>
      <c r="AR96" s="13"/>
      <c r="AY96" s="12"/>
    </row>
    <row r="97" spans="1:51" ht="12.75" x14ac:dyDescent="0.2">
      <c r="A97" s="1"/>
      <c r="B97" s="7"/>
      <c r="C97" s="8"/>
      <c r="D97" s="1"/>
      <c r="E97" s="1"/>
      <c r="F97" s="1"/>
      <c r="G97" s="1"/>
      <c r="H97" s="1"/>
      <c r="I97" s="2"/>
      <c r="J97" s="1"/>
      <c r="K97" s="1"/>
      <c r="L97" s="9"/>
      <c r="M97" s="1"/>
      <c r="N97" s="1"/>
      <c r="O97" s="1"/>
      <c r="P97" s="10"/>
      <c r="Q97" s="10"/>
      <c r="R97" s="10"/>
      <c r="S97" s="10"/>
      <c r="U97" s="7"/>
      <c r="V97" s="7"/>
      <c r="W97" s="7"/>
      <c r="X97" s="7"/>
      <c r="Z97" s="2"/>
      <c r="AA97" s="2"/>
      <c r="AB97" s="2"/>
      <c r="AC97" s="2"/>
      <c r="AE97" s="11"/>
      <c r="AF97" s="11"/>
      <c r="AG97" s="11"/>
      <c r="AH97" s="11"/>
      <c r="AJ97" s="12"/>
      <c r="AK97" s="12"/>
      <c r="AL97" s="12"/>
      <c r="AM97" s="12"/>
      <c r="AO97" s="13"/>
      <c r="AP97" s="13"/>
      <c r="AQ97" s="13"/>
      <c r="AR97" s="13"/>
      <c r="AY97" s="12"/>
    </row>
    <row r="98" spans="1:51" ht="12.75" x14ac:dyDescent="0.2">
      <c r="A98" s="1"/>
      <c r="B98" s="7"/>
      <c r="C98" s="8"/>
      <c r="D98" s="1"/>
      <c r="E98" s="1"/>
      <c r="F98" s="1"/>
      <c r="G98" s="1"/>
      <c r="H98" s="1"/>
      <c r="I98" s="2"/>
      <c r="J98" s="1"/>
      <c r="K98" s="1"/>
      <c r="L98" s="9"/>
      <c r="M98" s="1"/>
      <c r="N98" s="1"/>
      <c r="O98" s="1"/>
      <c r="P98" s="10"/>
      <c r="Q98" s="10"/>
      <c r="R98" s="10"/>
      <c r="S98" s="10"/>
      <c r="U98" s="7"/>
      <c r="V98" s="7"/>
      <c r="W98" s="7"/>
      <c r="X98" s="7"/>
      <c r="Z98" s="2"/>
      <c r="AA98" s="2"/>
      <c r="AB98" s="2"/>
      <c r="AC98" s="2"/>
      <c r="AE98" s="11"/>
      <c r="AF98" s="11"/>
      <c r="AG98" s="11"/>
      <c r="AH98" s="11"/>
      <c r="AJ98" s="12"/>
      <c r="AK98" s="12"/>
      <c r="AL98" s="12"/>
      <c r="AM98" s="12"/>
      <c r="AO98" s="13"/>
      <c r="AP98" s="13"/>
      <c r="AQ98" s="13"/>
      <c r="AR98" s="13"/>
      <c r="AY98" s="12"/>
    </row>
    <row r="99" spans="1:51" ht="12.75" x14ac:dyDescent="0.2">
      <c r="A99" s="1"/>
      <c r="B99" s="7"/>
      <c r="C99" s="8"/>
      <c r="D99" s="1"/>
      <c r="E99" s="1"/>
      <c r="F99" s="1"/>
      <c r="G99" s="1"/>
      <c r="H99" s="1"/>
      <c r="I99" s="2"/>
      <c r="J99" s="1"/>
      <c r="K99" s="1"/>
      <c r="L99" s="9"/>
      <c r="M99" s="1"/>
      <c r="N99" s="1"/>
      <c r="O99" s="1"/>
      <c r="P99" s="10"/>
      <c r="Q99" s="10"/>
      <c r="R99" s="10"/>
      <c r="S99" s="10"/>
      <c r="U99" s="7"/>
      <c r="V99" s="7"/>
      <c r="W99" s="7"/>
      <c r="X99" s="7"/>
      <c r="Z99" s="2"/>
      <c r="AA99" s="2"/>
      <c r="AB99" s="2"/>
      <c r="AC99" s="2"/>
      <c r="AE99" s="11"/>
      <c r="AF99" s="11"/>
      <c r="AG99" s="11"/>
      <c r="AH99" s="11"/>
      <c r="AJ99" s="12"/>
      <c r="AK99" s="12"/>
      <c r="AL99" s="12"/>
      <c r="AM99" s="12"/>
      <c r="AO99" s="13"/>
      <c r="AP99" s="13"/>
      <c r="AQ99" s="13"/>
      <c r="AR99" s="13"/>
      <c r="AY99" s="12"/>
    </row>
    <row r="100" spans="1:51" ht="12.75" x14ac:dyDescent="0.2">
      <c r="A100" s="1"/>
      <c r="B100" s="7"/>
      <c r="C100" s="8"/>
      <c r="D100" s="1"/>
      <c r="E100" s="1"/>
      <c r="F100" s="1"/>
      <c r="G100" s="1"/>
      <c r="H100" s="1"/>
      <c r="I100" s="2"/>
      <c r="J100" s="1"/>
      <c r="K100" s="1"/>
      <c r="L100" s="9"/>
      <c r="M100" s="1"/>
      <c r="N100" s="1"/>
      <c r="O100" s="1"/>
      <c r="P100" s="10"/>
      <c r="Q100" s="10"/>
      <c r="R100" s="10"/>
      <c r="S100" s="10"/>
      <c r="U100" s="7"/>
      <c r="V100" s="7"/>
      <c r="W100" s="7"/>
      <c r="X100" s="7"/>
      <c r="Z100" s="2"/>
      <c r="AA100" s="2"/>
      <c r="AB100" s="2"/>
      <c r="AC100" s="2"/>
      <c r="AE100" s="11"/>
      <c r="AF100" s="11"/>
      <c r="AG100" s="11"/>
      <c r="AH100" s="11"/>
      <c r="AJ100" s="12"/>
      <c r="AK100" s="12"/>
      <c r="AL100" s="12"/>
      <c r="AM100" s="12"/>
      <c r="AO100" s="13"/>
      <c r="AP100" s="13"/>
      <c r="AQ100" s="13"/>
      <c r="AR100" s="13"/>
      <c r="AY100" s="12"/>
    </row>
    <row r="101" spans="1:51" ht="12.75" x14ac:dyDescent="0.2">
      <c r="A101" s="1"/>
      <c r="B101" s="7"/>
      <c r="C101" s="8"/>
      <c r="D101" s="1"/>
      <c r="E101" s="1"/>
      <c r="F101" s="1"/>
      <c r="G101" s="1"/>
      <c r="H101" s="1"/>
      <c r="I101" s="2"/>
      <c r="J101" s="1"/>
      <c r="K101" s="1"/>
      <c r="L101" s="9"/>
      <c r="M101" s="1"/>
      <c r="N101" s="1"/>
      <c r="O101" s="1"/>
      <c r="P101" s="10"/>
      <c r="Q101" s="10"/>
      <c r="R101" s="10"/>
      <c r="S101" s="10"/>
      <c r="U101" s="7"/>
      <c r="V101" s="7"/>
      <c r="W101" s="7"/>
      <c r="X101" s="7"/>
      <c r="Z101" s="2"/>
      <c r="AA101" s="2"/>
      <c r="AB101" s="2"/>
      <c r="AC101" s="2"/>
      <c r="AE101" s="11"/>
      <c r="AF101" s="11"/>
      <c r="AG101" s="11"/>
      <c r="AH101" s="11"/>
      <c r="AJ101" s="12"/>
      <c r="AK101" s="12"/>
      <c r="AL101" s="12"/>
      <c r="AM101" s="12"/>
      <c r="AO101" s="13"/>
      <c r="AP101" s="13"/>
      <c r="AQ101" s="13"/>
      <c r="AR101" s="13"/>
      <c r="AY101" s="12"/>
    </row>
    <row r="102" spans="1:51" ht="12.75" x14ac:dyDescent="0.2">
      <c r="A102" s="1"/>
      <c r="B102" s="7"/>
      <c r="C102" s="8"/>
      <c r="D102" s="1"/>
      <c r="E102" s="1"/>
      <c r="F102" s="1"/>
      <c r="G102" s="1"/>
      <c r="H102" s="1"/>
      <c r="I102" s="2"/>
      <c r="J102" s="1"/>
      <c r="K102" s="1"/>
      <c r="L102" s="9"/>
      <c r="M102" s="1"/>
      <c r="N102" s="1"/>
      <c r="O102" s="1"/>
      <c r="P102" s="10"/>
      <c r="Q102" s="10"/>
      <c r="R102" s="10"/>
      <c r="S102" s="10"/>
      <c r="U102" s="7"/>
      <c r="V102" s="7"/>
      <c r="W102" s="7"/>
      <c r="X102" s="7"/>
      <c r="Z102" s="2"/>
      <c r="AA102" s="2"/>
      <c r="AB102" s="2"/>
      <c r="AC102" s="2"/>
      <c r="AE102" s="11"/>
      <c r="AF102" s="11"/>
      <c r="AG102" s="11"/>
      <c r="AH102" s="11"/>
      <c r="AJ102" s="12"/>
      <c r="AK102" s="12"/>
      <c r="AL102" s="12"/>
      <c r="AM102" s="12"/>
      <c r="AO102" s="13"/>
      <c r="AP102" s="13"/>
      <c r="AQ102" s="13"/>
      <c r="AR102" s="13"/>
      <c r="AY102" s="12"/>
    </row>
    <row r="103" spans="1:51" ht="12.75" x14ac:dyDescent="0.2">
      <c r="A103" s="1"/>
      <c r="B103" s="7"/>
      <c r="C103" s="8"/>
      <c r="D103" s="1"/>
      <c r="E103" s="1"/>
      <c r="F103" s="1"/>
      <c r="G103" s="1"/>
      <c r="H103" s="1"/>
      <c r="I103" s="2"/>
      <c r="J103" s="1"/>
      <c r="K103" s="1"/>
      <c r="L103" s="9"/>
      <c r="M103" s="1"/>
      <c r="N103" s="1"/>
      <c r="O103" s="1"/>
      <c r="P103" s="10"/>
      <c r="Q103" s="10"/>
      <c r="R103" s="10"/>
      <c r="S103" s="10"/>
      <c r="U103" s="7"/>
      <c r="V103" s="7"/>
      <c r="W103" s="7"/>
      <c r="X103" s="7"/>
      <c r="Z103" s="2"/>
      <c r="AA103" s="2"/>
      <c r="AB103" s="2"/>
      <c r="AC103" s="2"/>
      <c r="AE103" s="11"/>
      <c r="AF103" s="11"/>
      <c r="AG103" s="11"/>
      <c r="AH103" s="11"/>
      <c r="AJ103" s="12"/>
      <c r="AK103" s="12"/>
      <c r="AL103" s="12"/>
      <c r="AM103" s="12"/>
      <c r="AO103" s="13"/>
      <c r="AP103" s="13"/>
      <c r="AQ103" s="13"/>
      <c r="AR103" s="13"/>
      <c r="AY103" s="12"/>
    </row>
    <row r="104" spans="1:51" ht="12.75" x14ac:dyDescent="0.2">
      <c r="A104" s="1"/>
      <c r="B104" s="7"/>
      <c r="C104" s="8"/>
      <c r="D104" s="1"/>
      <c r="E104" s="1"/>
      <c r="F104" s="1"/>
      <c r="G104" s="1"/>
      <c r="H104" s="1"/>
      <c r="I104" s="2"/>
      <c r="J104" s="1"/>
      <c r="K104" s="1"/>
      <c r="L104" s="9"/>
      <c r="M104" s="1"/>
      <c r="N104" s="1"/>
      <c r="O104" s="1"/>
      <c r="P104" s="10"/>
      <c r="Q104" s="10"/>
      <c r="R104" s="10"/>
      <c r="S104" s="10"/>
      <c r="U104" s="7"/>
      <c r="V104" s="7"/>
      <c r="W104" s="7"/>
      <c r="X104" s="7"/>
      <c r="Z104" s="2"/>
      <c r="AA104" s="2"/>
      <c r="AB104" s="2"/>
      <c r="AC104" s="2"/>
      <c r="AE104" s="11"/>
      <c r="AF104" s="11"/>
      <c r="AG104" s="11"/>
      <c r="AH104" s="11"/>
      <c r="AJ104" s="12"/>
      <c r="AK104" s="12"/>
      <c r="AL104" s="12"/>
      <c r="AM104" s="12"/>
      <c r="AO104" s="13"/>
      <c r="AP104" s="13"/>
      <c r="AQ104" s="13"/>
      <c r="AR104" s="13"/>
      <c r="AY104" s="12"/>
    </row>
    <row r="105" spans="1:51" ht="12.75" x14ac:dyDescent="0.2">
      <c r="A105" s="1"/>
      <c r="B105" s="7"/>
      <c r="C105" s="8"/>
      <c r="D105" s="1"/>
      <c r="E105" s="1"/>
      <c r="F105" s="1"/>
      <c r="G105" s="1"/>
      <c r="H105" s="1"/>
      <c r="I105" s="2"/>
      <c r="J105" s="1"/>
      <c r="K105" s="1"/>
      <c r="L105" s="9"/>
      <c r="M105" s="1"/>
      <c r="N105" s="1"/>
      <c r="O105" s="1"/>
      <c r="P105" s="10"/>
      <c r="Q105" s="10"/>
      <c r="R105" s="10"/>
      <c r="S105" s="10"/>
      <c r="U105" s="7"/>
      <c r="V105" s="7"/>
      <c r="W105" s="7"/>
      <c r="X105" s="7"/>
      <c r="Z105" s="2"/>
      <c r="AA105" s="2"/>
      <c r="AB105" s="2"/>
      <c r="AC105" s="2"/>
      <c r="AE105" s="11"/>
      <c r="AF105" s="11"/>
      <c r="AG105" s="11"/>
      <c r="AH105" s="11"/>
      <c r="AJ105" s="12"/>
      <c r="AK105" s="12"/>
      <c r="AL105" s="12"/>
      <c r="AM105" s="12"/>
      <c r="AO105" s="13"/>
      <c r="AP105" s="13"/>
      <c r="AQ105" s="13"/>
      <c r="AR105" s="13"/>
      <c r="AY105" s="12"/>
    </row>
    <row r="106" spans="1:51" ht="12.75" x14ac:dyDescent="0.2">
      <c r="A106" s="1"/>
      <c r="B106" s="7"/>
      <c r="C106" s="8"/>
      <c r="D106" s="1"/>
      <c r="E106" s="1"/>
      <c r="F106" s="1"/>
      <c r="G106" s="1"/>
      <c r="H106" s="1"/>
      <c r="I106" s="2"/>
      <c r="J106" s="1"/>
      <c r="K106" s="1"/>
      <c r="L106" s="9"/>
      <c r="M106" s="1"/>
      <c r="N106" s="1"/>
      <c r="O106" s="1"/>
      <c r="P106" s="10"/>
      <c r="Q106" s="10"/>
      <c r="R106" s="10"/>
      <c r="S106" s="10"/>
      <c r="U106" s="7"/>
      <c r="V106" s="7"/>
      <c r="W106" s="7"/>
      <c r="X106" s="7"/>
      <c r="Z106" s="2"/>
      <c r="AA106" s="2"/>
      <c r="AB106" s="2"/>
      <c r="AC106" s="2"/>
      <c r="AE106" s="11"/>
      <c r="AF106" s="11"/>
      <c r="AG106" s="11"/>
      <c r="AH106" s="11"/>
      <c r="AJ106" s="12"/>
      <c r="AK106" s="12"/>
      <c r="AL106" s="12"/>
      <c r="AM106" s="12"/>
      <c r="AO106" s="13"/>
      <c r="AP106" s="13"/>
      <c r="AQ106" s="13"/>
      <c r="AR106" s="13"/>
      <c r="AY106" s="12"/>
    </row>
    <row r="107" spans="1:51" ht="12.75" x14ac:dyDescent="0.2">
      <c r="A107" s="1"/>
      <c r="B107" s="7"/>
      <c r="C107" s="8"/>
      <c r="D107" s="1"/>
      <c r="E107" s="1"/>
      <c r="F107" s="1"/>
      <c r="G107" s="1"/>
      <c r="H107" s="1"/>
      <c r="I107" s="2"/>
      <c r="J107" s="1"/>
      <c r="K107" s="1"/>
      <c r="L107" s="9"/>
      <c r="M107" s="1"/>
      <c r="N107" s="1"/>
      <c r="O107" s="1"/>
      <c r="P107" s="10"/>
      <c r="Q107" s="10"/>
      <c r="R107" s="10"/>
      <c r="S107" s="10"/>
      <c r="U107" s="7"/>
      <c r="V107" s="7"/>
      <c r="W107" s="7"/>
      <c r="X107" s="7"/>
      <c r="Z107" s="2"/>
      <c r="AA107" s="2"/>
      <c r="AB107" s="2"/>
      <c r="AC107" s="2"/>
      <c r="AE107" s="11"/>
      <c r="AF107" s="11"/>
      <c r="AG107" s="11"/>
      <c r="AH107" s="11"/>
      <c r="AJ107" s="12"/>
      <c r="AK107" s="12"/>
      <c r="AL107" s="12"/>
      <c r="AM107" s="12"/>
      <c r="AO107" s="13"/>
      <c r="AP107" s="13"/>
      <c r="AQ107" s="13"/>
      <c r="AR107" s="13"/>
      <c r="AY107" s="12"/>
    </row>
    <row r="108" spans="1:51" ht="12.75" x14ac:dyDescent="0.2">
      <c r="A108" s="1"/>
      <c r="B108" s="7"/>
      <c r="C108" s="8"/>
      <c r="D108" s="1"/>
      <c r="E108" s="1"/>
      <c r="F108" s="1"/>
      <c r="G108" s="1"/>
      <c r="H108" s="1"/>
      <c r="I108" s="2"/>
      <c r="J108" s="1"/>
      <c r="K108" s="1"/>
      <c r="L108" s="9"/>
      <c r="M108" s="1"/>
      <c r="N108" s="1"/>
      <c r="O108" s="1"/>
      <c r="P108" s="10"/>
      <c r="Q108" s="10"/>
      <c r="R108" s="10"/>
      <c r="S108" s="10"/>
      <c r="U108" s="7"/>
      <c r="V108" s="7"/>
      <c r="W108" s="7"/>
      <c r="X108" s="7"/>
      <c r="Z108" s="2"/>
      <c r="AA108" s="2"/>
      <c r="AB108" s="2"/>
      <c r="AC108" s="2"/>
      <c r="AE108" s="11"/>
      <c r="AF108" s="11"/>
      <c r="AG108" s="11"/>
      <c r="AH108" s="11"/>
      <c r="AJ108" s="12"/>
      <c r="AK108" s="12"/>
      <c r="AL108" s="12"/>
      <c r="AM108" s="12"/>
      <c r="AO108" s="13"/>
      <c r="AP108" s="13"/>
      <c r="AQ108" s="13"/>
      <c r="AR108" s="13"/>
      <c r="AY108" s="12"/>
    </row>
    <row r="109" spans="1:51" ht="12.75" x14ac:dyDescent="0.2">
      <c r="A109" s="1"/>
      <c r="B109" s="7"/>
      <c r="C109" s="8"/>
      <c r="D109" s="1"/>
      <c r="E109" s="1"/>
      <c r="F109" s="1"/>
      <c r="G109" s="1"/>
      <c r="H109" s="1"/>
      <c r="I109" s="2"/>
      <c r="J109" s="1"/>
      <c r="K109" s="1"/>
      <c r="L109" s="9"/>
      <c r="M109" s="1"/>
      <c r="N109" s="1"/>
      <c r="O109" s="1"/>
      <c r="P109" s="10"/>
      <c r="Q109" s="10"/>
      <c r="R109" s="10"/>
      <c r="S109" s="10"/>
      <c r="U109" s="7"/>
      <c r="V109" s="7"/>
      <c r="W109" s="7"/>
      <c r="X109" s="7"/>
      <c r="Z109" s="2"/>
      <c r="AA109" s="2"/>
      <c r="AB109" s="2"/>
      <c r="AC109" s="2"/>
      <c r="AE109" s="11"/>
      <c r="AF109" s="11"/>
      <c r="AG109" s="11"/>
      <c r="AH109" s="11"/>
      <c r="AJ109" s="12"/>
      <c r="AK109" s="12"/>
      <c r="AL109" s="12"/>
      <c r="AM109" s="12"/>
      <c r="AO109" s="13"/>
      <c r="AP109" s="13"/>
      <c r="AQ109" s="13"/>
      <c r="AR109" s="13"/>
      <c r="AY109" s="12"/>
    </row>
    <row r="110" spans="1:51" ht="12.75" x14ac:dyDescent="0.2">
      <c r="A110" s="1"/>
      <c r="B110" s="7"/>
      <c r="C110" s="8"/>
      <c r="D110" s="1"/>
      <c r="E110" s="1"/>
      <c r="F110" s="1"/>
      <c r="G110" s="1"/>
      <c r="H110" s="1"/>
      <c r="I110" s="2"/>
      <c r="J110" s="1"/>
      <c r="K110" s="1"/>
      <c r="L110" s="9"/>
      <c r="M110" s="1"/>
      <c r="N110" s="1"/>
      <c r="O110" s="1"/>
      <c r="P110" s="10"/>
      <c r="Q110" s="10"/>
      <c r="R110" s="10"/>
      <c r="S110" s="10"/>
      <c r="U110" s="7"/>
      <c r="V110" s="7"/>
      <c r="W110" s="7"/>
      <c r="X110" s="7"/>
      <c r="Z110" s="2"/>
      <c r="AA110" s="2"/>
      <c r="AB110" s="2"/>
      <c r="AC110" s="2"/>
      <c r="AE110" s="11"/>
      <c r="AF110" s="11"/>
      <c r="AG110" s="11"/>
      <c r="AH110" s="11"/>
      <c r="AJ110" s="12"/>
      <c r="AK110" s="12"/>
      <c r="AL110" s="12"/>
      <c r="AM110" s="12"/>
      <c r="AO110" s="13"/>
      <c r="AP110" s="13"/>
      <c r="AQ110" s="13"/>
      <c r="AR110" s="13"/>
      <c r="AY110" s="12"/>
    </row>
    <row r="111" spans="1:51" ht="12.75" x14ac:dyDescent="0.2">
      <c r="A111" s="1"/>
      <c r="B111" s="7"/>
      <c r="C111" s="8"/>
      <c r="D111" s="1"/>
      <c r="E111" s="1"/>
      <c r="F111" s="1"/>
      <c r="G111" s="1"/>
      <c r="H111" s="1"/>
      <c r="I111" s="2"/>
      <c r="J111" s="1"/>
      <c r="K111" s="1"/>
      <c r="L111" s="9"/>
      <c r="M111" s="1"/>
      <c r="N111" s="1"/>
      <c r="O111" s="1"/>
      <c r="P111" s="10"/>
      <c r="Q111" s="10"/>
      <c r="R111" s="10"/>
      <c r="S111" s="10"/>
      <c r="U111" s="7"/>
      <c r="V111" s="7"/>
      <c r="W111" s="7"/>
      <c r="X111" s="7"/>
      <c r="Z111" s="2"/>
      <c r="AA111" s="2"/>
      <c r="AB111" s="2"/>
      <c r="AC111" s="2"/>
      <c r="AE111" s="11"/>
      <c r="AF111" s="11"/>
      <c r="AG111" s="11"/>
      <c r="AH111" s="11"/>
      <c r="AJ111" s="12"/>
      <c r="AK111" s="12"/>
      <c r="AL111" s="12"/>
      <c r="AM111" s="12"/>
      <c r="AO111" s="13"/>
      <c r="AP111" s="13"/>
      <c r="AQ111" s="13"/>
      <c r="AR111" s="13"/>
      <c r="AY111" s="12"/>
    </row>
  </sheetData>
  <hyperlinks>
    <hyperlink ref="AX2" r:id="rId1" xr:uid="{00000000-0004-0000-0100-000000000000}"/>
    <hyperlink ref="AY2" r:id="rId2" xr:uid="{00000000-0004-0000-0100-000001000000}"/>
    <hyperlink ref="AX3" r:id="rId3" xr:uid="{00000000-0004-0000-0100-000002000000}"/>
    <hyperlink ref="AY3" r:id="rId4" xr:uid="{00000000-0004-0000-0100-000003000000}"/>
    <hyperlink ref="AX4" r:id="rId5" xr:uid="{00000000-0004-0000-0100-000004000000}"/>
    <hyperlink ref="AY4" r:id="rId6" xr:uid="{00000000-0004-0000-0100-000005000000}"/>
    <hyperlink ref="AX5" r:id="rId7" xr:uid="{00000000-0004-0000-0100-000006000000}"/>
    <hyperlink ref="AY5" r:id="rId8" xr:uid="{00000000-0004-0000-0100-000007000000}"/>
    <hyperlink ref="AX6" r:id="rId9" xr:uid="{00000000-0004-0000-0100-000008000000}"/>
    <hyperlink ref="AY6" r:id="rId10" xr:uid="{00000000-0004-0000-0100-000009000000}"/>
    <hyperlink ref="AX7" r:id="rId11" xr:uid="{00000000-0004-0000-0100-00000A000000}"/>
    <hyperlink ref="AY7" r:id="rId12" xr:uid="{00000000-0004-0000-0100-00000B000000}"/>
    <hyperlink ref="AX8" r:id="rId13" xr:uid="{00000000-0004-0000-0100-00000C000000}"/>
    <hyperlink ref="AY8" r:id="rId14" xr:uid="{00000000-0004-0000-0100-00000D000000}"/>
    <hyperlink ref="AX9" r:id="rId15" xr:uid="{00000000-0004-0000-0100-00000E000000}"/>
    <hyperlink ref="AY9" r:id="rId16" xr:uid="{00000000-0004-0000-0100-00000F000000}"/>
    <hyperlink ref="AX10" r:id="rId17" xr:uid="{00000000-0004-0000-0100-000010000000}"/>
    <hyperlink ref="AY10" r:id="rId18" xr:uid="{00000000-0004-0000-0100-000011000000}"/>
    <hyperlink ref="AX11" r:id="rId19" xr:uid="{00000000-0004-0000-0100-000012000000}"/>
    <hyperlink ref="AY11" r:id="rId20" xr:uid="{00000000-0004-0000-0100-000013000000}"/>
    <hyperlink ref="AX12" r:id="rId21" xr:uid="{00000000-0004-0000-0100-000014000000}"/>
    <hyperlink ref="AY12" r:id="rId22" xr:uid="{00000000-0004-0000-0100-000015000000}"/>
    <hyperlink ref="AX13" r:id="rId23" xr:uid="{00000000-0004-0000-0100-000016000000}"/>
    <hyperlink ref="AY13" r:id="rId24" xr:uid="{00000000-0004-0000-0100-000017000000}"/>
    <hyperlink ref="AX14" r:id="rId25" xr:uid="{00000000-0004-0000-0100-000018000000}"/>
    <hyperlink ref="AY14" r:id="rId26" xr:uid="{00000000-0004-0000-0100-000019000000}"/>
    <hyperlink ref="AX15" r:id="rId27" xr:uid="{00000000-0004-0000-0100-00001A000000}"/>
    <hyperlink ref="AY15" r:id="rId28" xr:uid="{00000000-0004-0000-0100-00001B000000}"/>
    <hyperlink ref="AX16" r:id="rId29" xr:uid="{00000000-0004-0000-0100-00001C000000}"/>
    <hyperlink ref="AY16" r:id="rId30" xr:uid="{00000000-0004-0000-0100-00001D000000}"/>
    <hyperlink ref="AX17" r:id="rId31" xr:uid="{00000000-0004-0000-0100-00001E000000}"/>
    <hyperlink ref="AY17" r:id="rId32" xr:uid="{00000000-0004-0000-0100-00001F000000}"/>
    <hyperlink ref="AX18" r:id="rId33" xr:uid="{00000000-0004-0000-0100-000020000000}"/>
    <hyperlink ref="AY18" r:id="rId34" xr:uid="{00000000-0004-0000-0100-000021000000}"/>
    <hyperlink ref="AX19" r:id="rId35" xr:uid="{00000000-0004-0000-0100-000022000000}"/>
    <hyperlink ref="AY19" r:id="rId36" xr:uid="{00000000-0004-0000-0100-000023000000}"/>
    <hyperlink ref="AX20" r:id="rId37" xr:uid="{00000000-0004-0000-0100-000024000000}"/>
    <hyperlink ref="AY20" r:id="rId38" xr:uid="{00000000-0004-0000-0100-000025000000}"/>
    <hyperlink ref="AY21" r:id="rId39" xr:uid="{00000000-0004-0000-0100-000026000000}"/>
  </hyperlinks>
  <pageMargins left="0.7" right="0.7" top="0.75" bottom="0.75" header="0.3" footer="0.3"/>
  <legacyDrawing r:id="rId40"/>
  <tableParts count="1">
    <tablePart r:id="rId4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fitToPage="1"/>
  </sheetPr>
  <dimension ref="A1:Z999"/>
  <sheetViews>
    <sheetView tabSelected="1" workbookViewId="0">
      <selection activeCell="N7" sqref="N7"/>
    </sheetView>
  </sheetViews>
  <sheetFormatPr defaultColWidth="12.5703125" defaultRowHeight="15.75" customHeight="1" x14ac:dyDescent="0.2"/>
  <cols>
    <col min="1" max="5" width="25.140625" customWidth="1"/>
    <col min="6" max="10" width="12.5703125" hidden="1"/>
    <col min="11" max="11" width="17" hidden="1" customWidth="1"/>
    <col min="12" max="12" width="22.7109375" hidden="1" customWidth="1"/>
    <col min="13" max="13" width="22.42578125" hidden="1" customWidth="1"/>
    <col min="14" max="14" width="50.85546875" customWidth="1"/>
    <col min="15" max="15" width="12.5703125" hidden="1"/>
    <col min="16" max="16" width="19" hidden="1" customWidth="1"/>
    <col min="17" max="17" width="21.5703125" hidden="1" customWidth="1"/>
    <col min="18" max="18" width="21.85546875" hidden="1" customWidth="1"/>
    <col min="19" max="26" width="12.5703125" hidden="1"/>
  </cols>
  <sheetData>
    <row r="1" spans="1:26" ht="34.5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F1" s="15"/>
      <c r="G1" s="15"/>
      <c r="H1" s="15"/>
      <c r="I1" s="15"/>
      <c r="J1" s="15"/>
      <c r="K1" s="19"/>
      <c r="L1" s="20"/>
      <c r="M1" s="20"/>
      <c r="N1" s="30" t="s">
        <v>60</v>
      </c>
      <c r="O1" s="15"/>
      <c r="P1" s="15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5" t="str">
        <f ca="1">IFERROR(__xludf.DUMMYFUNCTION("""COMPUTED_VALUE"""),"Rider 1 Name")</f>
        <v>Rider 1 Name</v>
      </c>
      <c r="R1" s="15" t="str">
        <f ca="1">IFERROR(__xludf.DUMMYFUNCTION("""COMPUTED_VALUE"""),"Horse Name")</f>
        <v>Horse Name</v>
      </c>
      <c r="S1" s="15" t="str">
        <f ca="1">IFERROR(__xludf.DUMMYFUNCTION("""COMPUTED_VALUE"""),"Owner")</f>
        <v>Owner</v>
      </c>
      <c r="T1" s="15"/>
      <c r="U1" s="15"/>
      <c r="V1" s="15"/>
      <c r="W1" s="15"/>
      <c r="X1" s="15"/>
      <c r="Y1" s="15"/>
      <c r="Z1" s="15"/>
    </row>
    <row r="2" spans="1:26" ht="15.75" customHeight="1" x14ac:dyDescent="0.2">
      <c r="A2" s="16" t="str">
        <f ca="1">IFERROR(__xludf.DUMMYFUNCTION("QUERY(P2:S999,""SELECT * WHERE R IS NOT NULL AND R !='Horse Name' Order By P"")"),"128")</f>
        <v>128</v>
      </c>
      <c r="B2" s="1" t="str">
        <f ca="1">IFERROR(__xludf.DUMMYFUNCTION("""COMPUTED_VALUE"""),"Preston and Reese Vinklanek")</f>
        <v>Preston and Reese Vinklanek</v>
      </c>
      <c r="C2" s="1" t="str">
        <f ca="1">IFERROR(__xludf.DUMMYFUNCTION("""COMPUTED_VALUE"""),"Missy and her foal Al Caponey")</f>
        <v>Missy and her foal Al Caponey</v>
      </c>
      <c r="D2" s="1"/>
      <c r="E2" s="1" t="s">
        <v>191</v>
      </c>
      <c r="K2" s="16"/>
      <c r="P2" s="1">
        <f ca="1">IFERROR(__xludf.DUMMYFUNCTION("""COMPUTED_VALUE"""),249)</f>
        <v>249</v>
      </c>
      <c r="Q2" s="1" t="str">
        <f ca="1">IFERROR(__xludf.DUMMYFUNCTION("""COMPUTED_VALUE"""),"Leigha Crawford")</f>
        <v>Leigha Crawford</v>
      </c>
      <c r="R2" s="1" t="str">
        <f ca="1">IFERROR(__xludf.DUMMYFUNCTION("""COMPUTED_VALUE"""),"Little Man's Romance")</f>
        <v>Little Man's Romance</v>
      </c>
      <c r="S2" s="1" t="str">
        <f ca="1">IFERROR(__xludf.DUMMYFUNCTION("""COMPUTED_VALUE"""),"Andrea Crawford")</f>
        <v>Andrea Crawford</v>
      </c>
    </row>
    <row r="3" spans="1:26" ht="15.75" customHeight="1" x14ac:dyDescent="0.2">
      <c r="A3" s="16" t="str">
        <f ca="1">IFERROR(__xludf.DUMMYFUNCTION("""COMPUTED_VALUE"""),"249")</f>
        <v>249</v>
      </c>
      <c r="B3" s="1" t="str">
        <f ca="1">IFERROR(__xludf.DUMMYFUNCTION("""COMPUTED_VALUE"""),"Leigha Crawford")</f>
        <v>Leigha Crawford</v>
      </c>
      <c r="C3" s="1" t="str">
        <f ca="1">IFERROR(__xludf.DUMMYFUNCTION("""COMPUTED_VALUE"""),"Little Man's Romance")</f>
        <v>Little Man's Romance</v>
      </c>
      <c r="D3" s="1" t="str">
        <f ca="1">IFERROR(__xludf.DUMMYFUNCTION("""COMPUTED_VALUE"""),"Andrea Crawford")</f>
        <v>Andrea Crawford</v>
      </c>
      <c r="E3" s="1" t="s">
        <v>191</v>
      </c>
      <c r="K3" s="16"/>
      <c r="P3" s="1">
        <f ca="1">IFERROR(__xludf.DUMMYFUNCTION("""COMPUTED_VALUE"""),128)</f>
        <v>128</v>
      </c>
      <c r="Q3" s="1" t="str">
        <f ca="1">IFERROR(__xludf.DUMMYFUNCTION("""COMPUTED_VALUE"""),"Preston and Reese Vinklanek")</f>
        <v>Preston and Reese Vinklanek</v>
      </c>
      <c r="R3" s="1" t="str">
        <f ca="1">IFERROR(__xludf.DUMMYFUNCTION("""COMPUTED_VALUE"""),"Missy and her foal Al Caponey")</f>
        <v>Missy and her foal Al Caponey</v>
      </c>
      <c r="S3" s="1"/>
    </row>
    <row r="4" spans="1:26" ht="15.75" customHeight="1" x14ac:dyDescent="0.2">
      <c r="A4" s="16" t="str">
        <f ca="1">IFERROR(__xludf.DUMMYFUNCTION("""COMPUTED_VALUE"""),"252")</f>
        <v>252</v>
      </c>
      <c r="B4" s="1" t="str">
        <f ca="1">IFERROR(__xludf.DUMMYFUNCTION("""COMPUTED_VALUE"""),"Noah Bowman")</f>
        <v>Noah Bowman</v>
      </c>
      <c r="C4" s="1" t="str">
        <f ca="1">IFERROR(__xludf.DUMMYFUNCTION("""COMPUTED_VALUE"""),"Music Diva LeFay")</f>
        <v>Music Diva LeFay</v>
      </c>
      <c r="D4" s="1" t="str">
        <f ca="1">IFERROR(__xludf.DUMMYFUNCTION("""COMPUTED_VALUE"""),"Keith Pugh")</f>
        <v>Keith Pugh</v>
      </c>
      <c r="E4" s="1" t="s">
        <v>191</v>
      </c>
      <c r="K4" s="16"/>
      <c r="P4" s="1" t="str">
        <f ca="1">IFERROR(__xludf.DUMMYFUNCTION("""COMPUTED_VALUE"""),"Back Number")</f>
        <v>Back Number</v>
      </c>
      <c r="Q4" s="1" t="str">
        <f ca="1">IFERROR(__xludf.DUMMYFUNCTION("""COMPUTED_VALUE"""),"Rider 2 Name")</f>
        <v>Rider 2 Name</v>
      </c>
      <c r="R4" s="1" t="str">
        <f ca="1">IFERROR(__xludf.DUMMYFUNCTION("""COMPUTED_VALUE"""),"Horse Name")</f>
        <v>Horse Name</v>
      </c>
      <c r="S4" s="1" t="str">
        <f ca="1">IFERROR(__xludf.DUMMYFUNCTION("""COMPUTED_VALUE"""),"Owner")</f>
        <v>Owner</v>
      </c>
    </row>
    <row r="5" spans="1:26" ht="15.75" customHeight="1" x14ac:dyDescent="0.2">
      <c r="A5" s="16"/>
      <c r="K5" s="16"/>
      <c r="P5" s="1">
        <f ca="1">IFERROR(__xludf.DUMMYFUNCTION("""COMPUTED_VALUE"""),252)</f>
        <v>252</v>
      </c>
      <c r="Q5" s="1" t="str">
        <f ca="1">IFERROR(__xludf.DUMMYFUNCTION("""COMPUTED_VALUE"""),"Noah Bowman")</f>
        <v>Noah Bowman</v>
      </c>
      <c r="R5" s="1" t="str">
        <f ca="1">IFERROR(__xludf.DUMMYFUNCTION("""COMPUTED_VALUE"""),"Music Diva LeFay")</f>
        <v>Music Diva LeFay</v>
      </c>
      <c r="S5" s="1" t="str">
        <f ca="1">IFERROR(__xludf.DUMMYFUNCTION("""COMPUTED_VALUE"""),"Keith Pugh")</f>
        <v>Keith Pugh</v>
      </c>
    </row>
    <row r="6" spans="1:26" ht="15.75" customHeight="1" x14ac:dyDescent="0.2">
      <c r="A6" s="16"/>
      <c r="K6" s="16"/>
      <c r="P6" s="1" t="str">
        <f ca="1">IFERROR(__xludf.DUMMYFUNCTION("""COMPUTED_VALUE"""),"Back Number")</f>
        <v>Back Number</v>
      </c>
      <c r="Q6" s="1" t="str">
        <f ca="1">IFERROR(__xludf.DUMMYFUNCTION("""COMPUTED_VALUE"""),"Rider 3 Name")</f>
        <v>Rider 3 Name</v>
      </c>
      <c r="R6" s="1" t="str">
        <f ca="1">IFERROR(__xludf.DUMMYFUNCTION("""COMPUTED_VALUE"""),"Horse Name")</f>
        <v>Horse Name</v>
      </c>
      <c r="S6" s="1" t="str">
        <f ca="1">IFERROR(__xludf.DUMMYFUNCTION("""COMPUTED_VALUE"""),"Owner")</f>
        <v>Owner</v>
      </c>
    </row>
    <row r="7" spans="1:26" ht="15.75" customHeight="1" x14ac:dyDescent="0.35">
      <c r="A7" s="21"/>
      <c r="K7" s="16"/>
      <c r="P7" s="1"/>
      <c r="Q7" s="1"/>
      <c r="R7" s="1"/>
      <c r="S7" s="1"/>
    </row>
    <row r="8" spans="1:26" ht="15.75" customHeight="1" x14ac:dyDescent="0.2">
      <c r="A8" s="16"/>
      <c r="E8">
        <v>0</v>
      </c>
      <c r="K8" s="16"/>
      <c r="P8" s="1" t="str">
        <f ca="1">IFERROR(__xludf.DUMMYFUNCTION("""COMPUTED_VALUE"""),"Back Number")</f>
        <v>Back Number</v>
      </c>
      <c r="Q8" s="1" t="str">
        <f ca="1">IFERROR(__xludf.DUMMYFUNCTION("""COMPUTED_VALUE"""),"Rider 5 Name")</f>
        <v>Rider 5 Name</v>
      </c>
      <c r="R8" s="1" t="str">
        <f ca="1">IFERROR(__xludf.DUMMYFUNCTION("""COMPUTED_VALUE"""),"Horse Name")</f>
        <v>Horse Name</v>
      </c>
      <c r="S8" s="1" t="str">
        <f ca="1">IFERROR(__xludf.DUMMYFUNCTION("""COMPUTED_VALUE"""),"Owner")</f>
        <v>Owner</v>
      </c>
    </row>
    <row r="9" spans="1:26" ht="15.75" customHeight="1" x14ac:dyDescent="0.2">
      <c r="A9" s="16"/>
      <c r="K9" s="16"/>
      <c r="P9" s="1" t="str">
        <f ca="1">IFERROR(__xludf.DUMMYFUNCTION("""COMPUTED_VALUE"""),"Back Number")</f>
        <v>Back Number</v>
      </c>
      <c r="Q9" s="1" t="str">
        <f ca="1">IFERROR(__xludf.DUMMYFUNCTION("""COMPUTED_VALUE"""),"Rider 6 Name")</f>
        <v>Rider 6 Name</v>
      </c>
      <c r="R9" s="1" t="str">
        <f ca="1">IFERROR(__xludf.DUMMYFUNCTION("""COMPUTED_VALUE"""),"Horse Name")</f>
        <v>Horse Name</v>
      </c>
      <c r="S9" s="1" t="str">
        <f ca="1">IFERROR(__xludf.DUMMYFUNCTION("""COMPUTED_VALUE"""),"Owner")</f>
        <v>Owner</v>
      </c>
    </row>
    <row r="10" spans="1:26" ht="15.75" customHeight="1" x14ac:dyDescent="0.2">
      <c r="A10" s="16"/>
      <c r="K10" s="16"/>
    </row>
    <row r="11" spans="1:26" ht="15.75" customHeight="1" x14ac:dyDescent="0.2">
      <c r="A11" s="16"/>
      <c r="K11" s="16"/>
    </row>
    <row r="12" spans="1:26" ht="15.75" customHeight="1" x14ac:dyDescent="0.2">
      <c r="A12" s="16"/>
      <c r="K12" s="16"/>
    </row>
    <row r="13" spans="1:26" ht="15.75" customHeight="1" x14ac:dyDescent="0.2">
      <c r="A13" s="16"/>
      <c r="K13" s="16"/>
    </row>
    <row r="14" spans="1:26" ht="15.75" customHeight="1" x14ac:dyDescent="0.2">
      <c r="A14" s="16"/>
      <c r="K14" s="16"/>
    </row>
    <row r="15" spans="1:26" ht="15.75" customHeight="1" x14ac:dyDescent="0.2">
      <c r="A15" s="16"/>
      <c r="K15" s="16"/>
    </row>
    <row r="16" spans="1:26" ht="15.75" customHeight="1" x14ac:dyDescent="0.2">
      <c r="A16" s="16"/>
      <c r="K16" s="16"/>
    </row>
    <row r="17" spans="1:11" ht="15.75" customHeight="1" x14ac:dyDescent="0.2">
      <c r="A17" s="16"/>
      <c r="K17" s="16"/>
    </row>
    <row r="18" spans="1:11" ht="15.75" customHeight="1" x14ac:dyDescent="0.2">
      <c r="A18" s="16"/>
      <c r="K18" s="16"/>
    </row>
    <row r="19" spans="1:11" ht="15.75" customHeight="1" x14ac:dyDescent="0.2">
      <c r="A19" s="16"/>
      <c r="K19" s="16"/>
    </row>
    <row r="20" spans="1:11" ht="15.75" customHeight="1" x14ac:dyDescent="0.2">
      <c r="A20" s="16"/>
      <c r="K20" s="16"/>
    </row>
    <row r="21" spans="1:11" ht="15.75" customHeight="1" x14ac:dyDescent="0.2">
      <c r="A21" s="16"/>
      <c r="K21" s="16"/>
    </row>
    <row r="22" spans="1:11" ht="15.75" customHeight="1" x14ac:dyDescent="0.2">
      <c r="A22" s="16"/>
      <c r="K22" s="16"/>
    </row>
    <row r="23" spans="1:11" ht="15.75" customHeight="1" x14ac:dyDescent="0.2">
      <c r="A23" s="16"/>
      <c r="K23" s="16"/>
    </row>
    <row r="24" spans="1:11" ht="15.75" customHeight="1" x14ac:dyDescent="0.2">
      <c r="A24" s="16"/>
      <c r="K24" s="16"/>
    </row>
    <row r="25" spans="1:11" ht="15.75" customHeight="1" x14ac:dyDescent="0.2">
      <c r="A25" s="16"/>
      <c r="K25" s="16"/>
    </row>
    <row r="26" spans="1:11" ht="15.75" customHeight="1" x14ac:dyDescent="0.2">
      <c r="A26" s="16"/>
      <c r="K26" s="16"/>
    </row>
    <row r="27" spans="1:11" ht="15.75" customHeight="1" x14ac:dyDescent="0.2">
      <c r="A27" s="16"/>
      <c r="K27" s="16"/>
    </row>
    <row r="28" spans="1:11" ht="15.75" customHeight="1" x14ac:dyDescent="0.2">
      <c r="A28" s="16"/>
      <c r="K28" s="16"/>
    </row>
    <row r="29" spans="1:11" ht="15.75" customHeight="1" x14ac:dyDescent="0.2">
      <c r="A29" s="16"/>
      <c r="K29" s="16"/>
    </row>
    <row r="30" spans="1:11" ht="15.75" customHeight="1" x14ac:dyDescent="0.2">
      <c r="A30" s="16"/>
      <c r="K30" s="16"/>
    </row>
    <row r="31" spans="1:11" ht="15.75" customHeight="1" x14ac:dyDescent="0.2">
      <c r="A31" s="16"/>
      <c r="K31" s="16"/>
    </row>
    <row r="32" spans="1:11" ht="15.75" customHeight="1" x14ac:dyDescent="0.2">
      <c r="A32" s="16"/>
      <c r="K32" s="16"/>
    </row>
    <row r="33" spans="1:11" ht="15.75" customHeight="1" x14ac:dyDescent="0.2">
      <c r="A33" s="16"/>
      <c r="K33" s="16"/>
    </row>
    <row r="34" spans="1:11" ht="15.75" customHeight="1" x14ac:dyDescent="0.2">
      <c r="A34" s="16"/>
      <c r="K34" s="16"/>
    </row>
    <row r="35" spans="1:11" ht="15.75" customHeight="1" x14ac:dyDescent="0.2">
      <c r="A35" s="16"/>
      <c r="K35" s="16"/>
    </row>
    <row r="36" spans="1:11" ht="15.75" customHeight="1" x14ac:dyDescent="0.2">
      <c r="A36" s="16"/>
      <c r="K36" s="16"/>
    </row>
    <row r="37" spans="1:11" ht="15.75" customHeight="1" x14ac:dyDescent="0.2">
      <c r="A37" s="16"/>
      <c r="K37" s="16"/>
    </row>
    <row r="38" spans="1:11" ht="15.75" customHeight="1" x14ac:dyDescent="0.2">
      <c r="A38" s="16"/>
      <c r="K38" s="16"/>
    </row>
    <row r="39" spans="1:11" ht="15.75" customHeight="1" x14ac:dyDescent="0.2">
      <c r="A39" s="16"/>
      <c r="K39" s="16"/>
    </row>
    <row r="40" spans="1:11" ht="15.75" customHeight="1" x14ac:dyDescent="0.2">
      <c r="A40" s="16"/>
      <c r="K40" s="16"/>
    </row>
    <row r="41" spans="1:11" ht="15.75" customHeight="1" x14ac:dyDescent="0.2">
      <c r="A41" s="16"/>
      <c r="K41" s="16"/>
    </row>
    <row r="42" spans="1:11" ht="15.75" customHeight="1" x14ac:dyDescent="0.2">
      <c r="A42" s="16"/>
      <c r="K42" s="16"/>
    </row>
    <row r="43" spans="1:11" ht="15.75" customHeight="1" x14ac:dyDescent="0.2">
      <c r="A43" s="16"/>
      <c r="K43" s="16"/>
    </row>
    <row r="44" spans="1:11" ht="15.75" customHeight="1" x14ac:dyDescent="0.2">
      <c r="A44" s="16"/>
      <c r="K44" s="16"/>
    </row>
    <row r="45" spans="1:11" ht="15.75" customHeight="1" x14ac:dyDescent="0.2">
      <c r="A45" s="16"/>
      <c r="K45" s="16"/>
    </row>
    <row r="46" spans="1:11" ht="12.75" x14ac:dyDescent="0.2">
      <c r="A46" s="16"/>
      <c r="K46" s="16"/>
    </row>
    <row r="47" spans="1:11" ht="12.75" x14ac:dyDescent="0.2">
      <c r="A47" s="16"/>
      <c r="K47" s="16"/>
    </row>
    <row r="48" spans="1:11" ht="12.75" x14ac:dyDescent="0.2">
      <c r="A48" s="16"/>
      <c r="K48" s="16"/>
    </row>
    <row r="49" spans="1:11" ht="12.75" x14ac:dyDescent="0.2">
      <c r="A49" s="16"/>
      <c r="K49" s="16"/>
    </row>
    <row r="50" spans="1:11" ht="12.75" x14ac:dyDescent="0.2">
      <c r="A50" s="16"/>
      <c r="K50" s="16"/>
    </row>
    <row r="51" spans="1:11" ht="12.75" x14ac:dyDescent="0.2">
      <c r="A51" s="16"/>
      <c r="K51" s="16"/>
    </row>
    <row r="52" spans="1:11" ht="12.75" x14ac:dyDescent="0.2">
      <c r="A52" s="16"/>
      <c r="K52" s="16"/>
    </row>
    <row r="53" spans="1:11" ht="12.75" x14ac:dyDescent="0.2">
      <c r="A53" s="16"/>
      <c r="K53" s="16"/>
    </row>
    <row r="54" spans="1:11" ht="12.75" x14ac:dyDescent="0.2">
      <c r="A54" s="16"/>
      <c r="K54" s="16"/>
    </row>
    <row r="55" spans="1:11" ht="12.75" x14ac:dyDescent="0.2">
      <c r="A55" s="16"/>
      <c r="K55" s="16"/>
    </row>
    <row r="56" spans="1:11" ht="12.75" x14ac:dyDescent="0.2">
      <c r="A56" s="16"/>
      <c r="K56" s="16"/>
    </row>
    <row r="57" spans="1:11" ht="12.75" x14ac:dyDescent="0.2">
      <c r="A57" s="16"/>
      <c r="K57" s="16"/>
    </row>
    <row r="58" spans="1:11" ht="12.75" x14ac:dyDescent="0.2">
      <c r="A58" s="16"/>
      <c r="K58" s="16"/>
    </row>
    <row r="59" spans="1:11" ht="12.75" x14ac:dyDescent="0.2">
      <c r="A59" s="16"/>
      <c r="K59" s="16"/>
    </row>
    <row r="60" spans="1:11" ht="12.75" x14ac:dyDescent="0.2">
      <c r="A60" s="16"/>
      <c r="K60" s="16"/>
    </row>
    <row r="61" spans="1:11" ht="12.75" x14ac:dyDescent="0.2">
      <c r="A61" s="16"/>
      <c r="K61" s="16"/>
    </row>
    <row r="62" spans="1:11" ht="12.75" x14ac:dyDescent="0.2">
      <c r="A62" s="16"/>
      <c r="K62" s="16"/>
    </row>
    <row r="63" spans="1:11" ht="12.75" x14ac:dyDescent="0.2">
      <c r="A63" s="16"/>
      <c r="K63" s="16"/>
    </row>
    <row r="64" spans="1:11" ht="12.75" x14ac:dyDescent="0.2">
      <c r="A64" s="16"/>
      <c r="K64" s="16"/>
    </row>
    <row r="65" spans="1:11" ht="12.75" x14ac:dyDescent="0.2">
      <c r="A65" s="16"/>
      <c r="K65" s="16"/>
    </row>
    <row r="66" spans="1:11" ht="12.75" x14ac:dyDescent="0.2">
      <c r="A66" s="16"/>
      <c r="K66" s="16"/>
    </row>
    <row r="67" spans="1:11" ht="12.75" x14ac:dyDescent="0.2">
      <c r="A67" s="16"/>
      <c r="K67" s="16"/>
    </row>
    <row r="68" spans="1:11" ht="12.75" x14ac:dyDescent="0.2">
      <c r="A68" s="16"/>
      <c r="K68" s="16"/>
    </row>
    <row r="69" spans="1:11" ht="12.75" x14ac:dyDescent="0.2">
      <c r="A69" s="16"/>
      <c r="K69" s="16"/>
    </row>
    <row r="70" spans="1:11" ht="12.75" x14ac:dyDescent="0.2">
      <c r="A70" s="16"/>
      <c r="K70" s="16"/>
    </row>
    <row r="71" spans="1:11" ht="12.75" x14ac:dyDescent="0.2">
      <c r="A71" s="16"/>
      <c r="K71" s="16"/>
    </row>
    <row r="72" spans="1:11" ht="12.75" x14ac:dyDescent="0.2">
      <c r="A72" s="16"/>
      <c r="K72" s="16"/>
    </row>
    <row r="73" spans="1:11" ht="12.75" x14ac:dyDescent="0.2">
      <c r="A73" s="16"/>
      <c r="K73" s="16"/>
    </row>
    <row r="74" spans="1:11" ht="12.75" x14ac:dyDescent="0.2">
      <c r="A74" s="16"/>
      <c r="K74" s="16"/>
    </row>
    <row r="75" spans="1:11" ht="12.75" x14ac:dyDescent="0.2">
      <c r="A75" s="16"/>
      <c r="K75" s="16"/>
    </row>
    <row r="76" spans="1:11" ht="12.75" x14ac:dyDescent="0.2">
      <c r="A76" s="16"/>
      <c r="K76" s="16"/>
    </row>
    <row r="77" spans="1:11" ht="12.75" x14ac:dyDescent="0.2">
      <c r="A77" s="16"/>
      <c r="K77" s="16"/>
    </row>
    <row r="78" spans="1:11" ht="12.75" x14ac:dyDescent="0.2">
      <c r="A78" s="16"/>
      <c r="K78" s="16"/>
    </row>
    <row r="79" spans="1:11" ht="12.75" x14ac:dyDescent="0.2">
      <c r="A79" s="16"/>
      <c r="K79" s="16"/>
    </row>
    <row r="80" spans="1:11" ht="12.75" x14ac:dyDescent="0.2">
      <c r="A80" s="16"/>
      <c r="K80" s="16"/>
    </row>
    <row r="81" spans="1:11" ht="12.75" x14ac:dyDescent="0.2">
      <c r="A81" s="16"/>
      <c r="K81" s="16"/>
    </row>
    <row r="82" spans="1:11" ht="12.75" x14ac:dyDescent="0.2">
      <c r="A82" s="16"/>
      <c r="K82" s="16"/>
    </row>
    <row r="83" spans="1:11" ht="12.75" x14ac:dyDescent="0.2">
      <c r="A83" s="16"/>
      <c r="K83" s="16"/>
    </row>
    <row r="84" spans="1:11" ht="12.75" x14ac:dyDescent="0.2">
      <c r="A84" s="16"/>
      <c r="K84" s="16"/>
    </row>
    <row r="85" spans="1:11" ht="12.75" x14ac:dyDescent="0.2">
      <c r="A85" s="16"/>
      <c r="K85" s="16"/>
    </row>
    <row r="86" spans="1:11" ht="12.75" x14ac:dyDescent="0.2">
      <c r="A86" s="16"/>
      <c r="K86" s="16"/>
    </row>
    <row r="87" spans="1:11" ht="12.75" x14ac:dyDescent="0.2">
      <c r="A87" s="16"/>
      <c r="K87" s="16"/>
    </row>
    <row r="88" spans="1:11" ht="12.75" x14ac:dyDescent="0.2">
      <c r="A88" s="16"/>
      <c r="K88" s="16"/>
    </row>
    <row r="89" spans="1:11" ht="12.75" x14ac:dyDescent="0.2">
      <c r="A89" s="16"/>
      <c r="K89" s="16"/>
    </row>
    <row r="90" spans="1:11" ht="12.75" x14ac:dyDescent="0.2">
      <c r="A90" s="16"/>
      <c r="K90" s="16"/>
    </row>
    <row r="91" spans="1:11" ht="12.75" x14ac:dyDescent="0.2">
      <c r="A91" s="16"/>
      <c r="K91" s="16"/>
    </row>
    <row r="92" spans="1:11" ht="12.75" x14ac:dyDescent="0.2">
      <c r="A92" s="16"/>
      <c r="K92" s="16"/>
    </row>
    <row r="93" spans="1:11" ht="12.75" x14ac:dyDescent="0.2">
      <c r="A93" s="16"/>
      <c r="K93" s="16"/>
    </row>
    <row r="94" spans="1:11" ht="12.75" x14ac:dyDescent="0.2">
      <c r="A94" s="16"/>
      <c r="K94" s="16"/>
    </row>
    <row r="95" spans="1:11" ht="12.75" x14ac:dyDescent="0.2">
      <c r="A95" s="16"/>
      <c r="K95" s="16"/>
    </row>
    <row r="96" spans="1:11" ht="12.75" x14ac:dyDescent="0.2">
      <c r="A96" s="16"/>
      <c r="K96" s="16"/>
    </row>
    <row r="97" spans="1:11" ht="12.75" x14ac:dyDescent="0.2">
      <c r="A97" s="16"/>
      <c r="K97" s="16"/>
    </row>
    <row r="98" spans="1:11" ht="12.75" x14ac:dyDescent="0.2">
      <c r="A98" s="16"/>
      <c r="K98" s="16"/>
    </row>
    <row r="99" spans="1:11" ht="12.75" x14ac:dyDescent="0.2">
      <c r="A99" s="16"/>
      <c r="K99" s="16"/>
    </row>
    <row r="100" spans="1:11" ht="12.75" x14ac:dyDescent="0.2">
      <c r="A100" s="16"/>
      <c r="K100" s="16"/>
    </row>
    <row r="101" spans="1:11" ht="12.75" x14ac:dyDescent="0.2">
      <c r="A101" s="16"/>
      <c r="K101" s="16"/>
    </row>
    <row r="102" spans="1:11" ht="12.75" x14ac:dyDescent="0.2">
      <c r="A102" s="16"/>
      <c r="K102" s="16"/>
    </row>
    <row r="103" spans="1:11" ht="12.75" x14ac:dyDescent="0.2">
      <c r="A103" s="16"/>
      <c r="K103" s="16"/>
    </row>
    <row r="104" spans="1:11" ht="12.75" x14ac:dyDescent="0.2">
      <c r="A104" s="16"/>
      <c r="K104" s="16"/>
    </row>
    <row r="105" spans="1:11" ht="12.75" x14ac:dyDescent="0.2">
      <c r="A105" s="16"/>
      <c r="K105" s="16"/>
    </row>
    <row r="106" spans="1:11" ht="12.75" x14ac:dyDescent="0.2">
      <c r="A106" s="16"/>
      <c r="K106" s="16"/>
    </row>
    <row r="107" spans="1:11" ht="12.75" x14ac:dyDescent="0.2">
      <c r="A107" s="16"/>
      <c r="K107" s="16"/>
    </row>
    <row r="108" spans="1:11" ht="12.75" x14ac:dyDescent="0.2">
      <c r="A108" s="16"/>
      <c r="K108" s="16"/>
    </row>
    <row r="109" spans="1:11" ht="12.75" x14ac:dyDescent="0.2">
      <c r="A109" s="16"/>
      <c r="K109" s="16"/>
    </row>
    <row r="110" spans="1:11" ht="12.75" x14ac:dyDescent="0.2">
      <c r="A110" s="16"/>
      <c r="K110" s="16"/>
    </row>
    <row r="111" spans="1:11" ht="12.75" x14ac:dyDescent="0.2">
      <c r="A111" s="16"/>
      <c r="K111" s="16"/>
    </row>
    <row r="112" spans="1:11" ht="12.75" x14ac:dyDescent="0.2">
      <c r="A112" s="16"/>
      <c r="K112" s="16"/>
    </row>
    <row r="113" spans="1:11" ht="12.75" x14ac:dyDescent="0.2">
      <c r="A113" s="16"/>
      <c r="K113" s="16"/>
    </row>
    <row r="114" spans="1:11" ht="12.75" x14ac:dyDescent="0.2">
      <c r="A114" s="16"/>
      <c r="K114" s="16"/>
    </row>
    <row r="115" spans="1:11" ht="12.75" x14ac:dyDescent="0.2">
      <c r="A115" s="16"/>
      <c r="K115" s="16"/>
    </row>
    <row r="116" spans="1:11" ht="12.75" x14ac:dyDescent="0.2">
      <c r="A116" s="16"/>
      <c r="K116" s="16"/>
    </row>
    <row r="117" spans="1:11" ht="12.75" x14ac:dyDescent="0.2">
      <c r="A117" s="16"/>
      <c r="K117" s="16"/>
    </row>
    <row r="118" spans="1:11" ht="12.75" x14ac:dyDescent="0.2">
      <c r="A118" s="16"/>
      <c r="K118" s="16"/>
    </row>
    <row r="119" spans="1:11" ht="12.75" x14ac:dyDescent="0.2">
      <c r="A119" s="16"/>
      <c r="K119" s="16"/>
    </row>
    <row r="120" spans="1:11" ht="12.75" x14ac:dyDescent="0.2">
      <c r="A120" s="16"/>
      <c r="K120" s="16"/>
    </row>
    <row r="121" spans="1:11" ht="12.75" x14ac:dyDescent="0.2">
      <c r="A121" s="16"/>
      <c r="K121" s="16"/>
    </row>
    <row r="122" spans="1:11" ht="12.75" x14ac:dyDescent="0.2">
      <c r="A122" s="16"/>
      <c r="K122" s="16"/>
    </row>
    <row r="123" spans="1:11" ht="12.75" x14ac:dyDescent="0.2">
      <c r="A123" s="16"/>
      <c r="K123" s="16"/>
    </row>
    <row r="124" spans="1:11" ht="12.75" x14ac:dyDescent="0.2">
      <c r="A124" s="16"/>
      <c r="K124" s="16"/>
    </row>
    <row r="125" spans="1:11" ht="12.75" x14ac:dyDescent="0.2">
      <c r="A125" s="16"/>
      <c r="K125" s="16"/>
    </row>
    <row r="126" spans="1:11" ht="12.75" x14ac:dyDescent="0.2">
      <c r="A126" s="16"/>
      <c r="K126" s="16"/>
    </row>
    <row r="127" spans="1:11" ht="12.75" x14ac:dyDescent="0.2">
      <c r="A127" s="16"/>
      <c r="K127" s="16"/>
    </row>
    <row r="128" spans="1:11" ht="12.75" x14ac:dyDescent="0.2">
      <c r="A128" s="16"/>
      <c r="K128" s="16"/>
    </row>
    <row r="129" spans="1:11" ht="12.75" x14ac:dyDescent="0.2">
      <c r="A129" s="16"/>
      <c r="K129" s="16"/>
    </row>
    <row r="130" spans="1:11" ht="12.75" x14ac:dyDescent="0.2">
      <c r="A130" s="16"/>
      <c r="K130" s="16"/>
    </row>
    <row r="131" spans="1:11" ht="12.75" x14ac:dyDescent="0.2">
      <c r="A131" s="16"/>
      <c r="K131" s="16"/>
    </row>
    <row r="132" spans="1:11" ht="12.75" x14ac:dyDescent="0.2">
      <c r="A132" s="16"/>
      <c r="K132" s="16"/>
    </row>
    <row r="133" spans="1:11" ht="12.75" x14ac:dyDescent="0.2">
      <c r="A133" s="16"/>
      <c r="K133" s="16"/>
    </row>
    <row r="134" spans="1:11" ht="12.75" x14ac:dyDescent="0.2">
      <c r="A134" s="16"/>
      <c r="K134" s="16"/>
    </row>
    <row r="135" spans="1:11" ht="12.75" x14ac:dyDescent="0.2">
      <c r="A135" s="16"/>
      <c r="K135" s="16"/>
    </row>
    <row r="136" spans="1:11" ht="12.75" x14ac:dyDescent="0.2">
      <c r="A136" s="16"/>
      <c r="K136" s="16"/>
    </row>
    <row r="137" spans="1:11" ht="12.75" x14ac:dyDescent="0.2">
      <c r="A137" s="16"/>
      <c r="K137" s="16"/>
    </row>
    <row r="138" spans="1:11" ht="12.75" x14ac:dyDescent="0.2">
      <c r="A138" s="16"/>
      <c r="K138" s="16"/>
    </row>
    <row r="139" spans="1:11" ht="12.75" x14ac:dyDescent="0.2">
      <c r="A139" s="16"/>
      <c r="K139" s="16"/>
    </row>
    <row r="140" spans="1:11" ht="12.75" x14ac:dyDescent="0.2">
      <c r="A140" s="16"/>
      <c r="K140" s="16"/>
    </row>
    <row r="141" spans="1:11" ht="12.75" x14ac:dyDescent="0.2">
      <c r="A141" s="16"/>
      <c r="K141" s="16"/>
    </row>
    <row r="142" spans="1:11" ht="12.75" x14ac:dyDescent="0.2">
      <c r="A142" s="16"/>
      <c r="K142" s="16"/>
    </row>
    <row r="143" spans="1:11" ht="12.75" x14ac:dyDescent="0.2">
      <c r="A143" s="16"/>
      <c r="K143" s="16"/>
    </row>
    <row r="144" spans="1:11" ht="12.75" x14ac:dyDescent="0.2">
      <c r="A144" s="16"/>
      <c r="K144" s="16"/>
    </row>
    <row r="145" spans="1:11" ht="12.75" x14ac:dyDescent="0.2">
      <c r="A145" s="16"/>
      <c r="K145" s="16"/>
    </row>
    <row r="146" spans="1:11" ht="12.75" x14ac:dyDescent="0.2">
      <c r="A146" s="16"/>
      <c r="K146" s="16"/>
    </row>
    <row r="147" spans="1:11" ht="12.75" x14ac:dyDescent="0.2">
      <c r="A147" s="16"/>
      <c r="K147" s="16"/>
    </row>
    <row r="148" spans="1:11" ht="12.75" x14ac:dyDescent="0.2">
      <c r="A148" s="16"/>
      <c r="K148" s="16"/>
    </row>
    <row r="149" spans="1:11" ht="12.75" x14ac:dyDescent="0.2">
      <c r="A149" s="16"/>
      <c r="K149" s="16"/>
    </row>
    <row r="150" spans="1:11" ht="12.75" x14ac:dyDescent="0.2">
      <c r="A150" s="16"/>
      <c r="K150" s="16"/>
    </row>
    <row r="151" spans="1:11" ht="12.75" x14ac:dyDescent="0.2">
      <c r="A151" s="16"/>
      <c r="K151" s="16"/>
    </row>
    <row r="152" spans="1:11" ht="12.75" x14ac:dyDescent="0.2">
      <c r="A152" s="16"/>
      <c r="K152" s="16"/>
    </row>
    <row r="153" spans="1:11" ht="12.75" x14ac:dyDescent="0.2">
      <c r="A153" s="16"/>
      <c r="K153" s="16"/>
    </row>
    <row r="154" spans="1:11" ht="12.75" x14ac:dyDescent="0.2">
      <c r="A154" s="16"/>
      <c r="K154" s="16"/>
    </row>
    <row r="155" spans="1:11" ht="12.75" x14ac:dyDescent="0.2">
      <c r="A155" s="16"/>
      <c r="K155" s="16"/>
    </row>
    <row r="156" spans="1:11" ht="12.75" x14ac:dyDescent="0.2">
      <c r="A156" s="16"/>
      <c r="K156" s="16"/>
    </row>
    <row r="157" spans="1:11" ht="12.75" x14ac:dyDescent="0.2">
      <c r="A157" s="16"/>
      <c r="K157" s="16"/>
    </row>
    <row r="158" spans="1:11" ht="12.75" x14ac:dyDescent="0.2">
      <c r="A158" s="16"/>
      <c r="K158" s="16"/>
    </row>
    <row r="159" spans="1:11" ht="12.75" x14ac:dyDescent="0.2">
      <c r="A159" s="16"/>
      <c r="K159" s="16"/>
    </row>
    <row r="160" spans="1:11" ht="12.75" x14ac:dyDescent="0.2">
      <c r="A160" s="16"/>
      <c r="K160" s="16"/>
    </row>
    <row r="161" spans="1:11" ht="12.75" x14ac:dyDescent="0.2">
      <c r="A161" s="16"/>
      <c r="K161" s="16"/>
    </row>
    <row r="162" spans="1:11" ht="12.75" x14ac:dyDescent="0.2">
      <c r="A162" s="16"/>
      <c r="K162" s="16"/>
    </row>
    <row r="163" spans="1:11" ht="12.75" x14ac:dyDescent="0.2">
      <c r="A163" s="16"/>
      <c r="K163" s="16"/>
    </row>
    <row r="164" spans="1:11" ht="12.75" x14ac:dyDescent="0.2">
      <c r="A164" s="16"/>
      <c r="K164" s="16"/>
    </row>
    <row r="165" spans="1:11" ht="12.75" x14ac:dyDescent="0.2">
      <c r="A165" s="16"/>
      <c r="K165" s="16"/>
    </row>
    <row r="166" spans="1:11" ht="12.75" x14ac:dyDescent="0.2">
      <c r="A166" s="16"/>
      <c r="K166" s="16"/>
    </row>
    <row r="167" spans="1:11" ht="12.75" x14ac:dyDescent="0.2">
      <c r="A167" s="16"/>
      <c r="K167" s="16"/>
    </row>
    <row r="168" spans="1:11" ht="12.75" x14ac:dyDescent="0.2">
      <c r="A168" s="16"/>
      <c r="K168" s="16"/>
    </row>
    <row r="169" spans="1:11" ht="12.75" x14ac:dyDescent="0.2">
      <c r="A169" s="16"/>
      <c r="K169" s="16"/>
    </row>
    <row r="170" spans="1:11" ht="12.75" x14ac:dyDescent="0.2">
      <c r="A170" s="16"/>
      <c r="K170" s="16"/>
    </row>
    <row r="171" spans="1:11" ht="12.75" x14ac:dyDescent="0.2">
      <c r="A171" s="16"/>
      <c r="K171" s="16"/>
    </row>
    <row r="172" spans="1:11" ht="12.75" x14ac:dyDescent="0.2">
      <c r="A172" s="16"/>
      <c r="K172" s="16"/>
    </row>
    <row r="173" spans="1:11" ht="12.75" x14ac:dyDescent="0.2">
      <c r="A173" s="16"/>
      <c r="K173" s="16"/>
    </row>
    <row r="174" spans="1:11" ht="12.75" x14ac:dyDescent="0.2">
      <c r="A174" s="16"/>
      <c r="K174" s="16"/>
    </row>
    <row r="175" spans="1:11" ht="12.75" x14ac:dyDescent="0.2">
      <c r="A175" s="16"/>
      <c r="K175" s="16"/>
    </row>
    <row r="176" spans="1:11" ht="12.75" x14ac:dyDescent="0.2">
      <c r="A176" s="16"/>
      <c r="K176" s="16"/>
    </row>
    <row r="177" spans="1:11" ht="12.75" x14ac:dyDescent="0.2">
      <c r="A177" s="16"/>
      <c r="K177" s="16"/>
    </row>
    <row r="178" spans="1:11" ht="12.75" x14ac:dyDescent="0.2">
      <c r="A178" s="16"/>
      <c r="K178" s="16"/>
    </row>
    <row r="179" spans="1:11" ht="12.75" x14ac:dyDescent="0.2">
      <c r="A179" s="16"/>
      <c r="K179" s="16"/>
    </row>
    <row r="180" spans="1:11" ht="12.75" x14ac:dyDescent="0.2">
      <c r="A180" s="16"/>
      <c r="K180" s="16"/>
    </row>
    <row r="181" spans="1:11" ht="12.75" x14ac:dyDescent="0.2">
      <c r="A181" s="16"/>
      <c r="K181" s="16"/>
    </row>
    <row r="182" spans="1:11" ht="12.75" x14ac:dyDescent="0.2">
      <c r="A182" s="16"/>
      <c r="K182" s="16"/>
    </row>
    <row r="183" spans="1:11" ht="12.75" x14ac:dyDescent="0.2">
      <c r="A183" s="16"/>
      <c r="K183" s="16"/>
    </row>
    <row r="184" spans="1:11" ht="12.75" x14ac:dyDescent="0.2">
      <c r="A184" s="16"/>
      <c r="K184" s="16"/>
    </row>
    <row r="185" spans="1:11" ht="12.75" x14ac:dyDescent="0.2">
      <c r="A185" s="16"/>
      <c r="K185" s="16"/>
    </row>
    <row r="186" spans="1:11" ht="12.75" x14ac:dyDescent="0.2">
      <c r="A186" s="16"/>
      <c r="K186" s="16"/>
    </row>
    <row r="187" spans="1:11" ht="12.75" x14ac:dyDescent="0.2">
      <c r="A187" s="16"/>
      <c r="K187" s="16"/>
    </row>
    <row r="188" spans="1:11" ht="12.75" x14ac:dyDescent="0.2">
      <c r="A188" s="16"/>
      <c r="K188" s="16"/>
    </row>
    <row r="189" spans="1:11" ht="12.75" x14ac:dyDescent="0.2">
      <c r="A189" s="16"/>
      <c r="K189" s="16"/>
    </row>
    <row r="190" spans="1:11" ht="12.75" x14ac:dyDescent="0.2">
      <c r="A190" s="16"/>
      <c r="K190" s="16"/>
    </row>
    <row r="191" spans="1:11" ht="12.75" x14ac:dyDescent="0.2">
      <c r="A191" s="16"/>
      <c r="K191" s="16"/>
    </row>
    <row r="192" spans="1:11" ht="12.75" x14ac:dyDescent="0.2">
      <c r="A192" s="16"/>
      <c r="K192" s="16"/>
    </row>
    <row r="193" spans="1:11" ht="12.75" x14ac:dyDescent="0.2">
      <c r="A193" s="16"/>
      <c r="K193" s="16"/>
    </row>
    <row r="194" spans="1:11" ht="12.75" x14ac:dyDescent="0.2">
      <c r="A194" s="16"/>
      <c r="K194" s="16"/>
    </row>
    <row r="195" spans="1:11" ht="12.75" x14ac:dyDescent="0.2">
      <c r="A195" s="16"/>
      <c r="K195" s="16"/>
    </row>
    <row r="196" spans="1:11" ht="12.75" x14ac:dyDescent="0.2">
      <c r="A196" s="16"/>
      <c r="K196" s="16"/>
    </row>
    <row r="197" spans="1:11" ht="12.75" x14ac:dyDescent="0.2">
      <c r="A197" s="16"/>
      <c r="K197" s="16"/>
    </row>
    <row r="198" spans="1:11" ht="12.75" x14ac:dyDescent="0.2">
      <c r="A198" s="16"/>
      <c r="K198" s="16"/>
    </row>
    <row r="199" spans="1:11" ht="12.75" x14ac:dyDescent="0.2">
      <c r="A199" s="16"/>
      <c r="K199" s="16"/>
    </row>
    <row r="200" spans="1:11" ht="12.75" x14ac:dyDescent="0.2">
      <c r="A200" s="16"/>
      <c r="K200" s="16"/>
    </row>
    <row r="201" spans="1:11" ht="12.75" x14ac:dyDescent="0.2">
      <c r="A201" s="16"/>
      <c r="K201" s="16"/>
    </row>
    <row r="202" spans="1:11" ht="12.75" x14ac:dyDescent="0.2">
      <c r="A202" s="16"/>
      <c r="K202" s="16"/>
    </row>
    <row r="203" spans="1:11" ht="12.75" x14ac:dyDescent="0.2">
      <c r="A203" s="16"/>
      <c r="K203" s="16"/>
    </row>
    <row r="204" spans="1:11" ht="12.75" x14ac:dyDescent="0.2">
      <c r="A204" s="16"/>
      <c r="K204" s="16"/>
    </row>
    <row r="205" spans="1:11" ht="12.75" x14ac:dyDescent="0.2">
      <c r="A205" s="16"/>
      <c r="K205" s="16"/>
    </row>
    <row r="206" spans="1:11" ht="12.75" x14ac:dyDescent="0.2">
      <c r="A206" s="16"/>
      <c r="K206" s="16"/>
    </row>
    <row r="207" spans="1:11" ht="12.75" x14ac:dyDescent="0.2">
      <c r="A207" s="16"/>
      <c r="K207" s="16"/>
    </row>
    <row r="208" spans="1:11" ht="12.75" x14ac:dyDescent="0.2">
      <c r="A208" s="16"/>
      <c r="K208" s="16"/>
    </row>
    <row r="209" spans="1:11" ht="12.75" x14ac:dyDescent="0.2">
      <c r="A209" s="16"/>
      <c r="K209" s="16"/>
    </row>
    <row r="210" spans="1:11" ht="12.75" x14ac:dyDescent="0.2">
      <c r="A210" s="16"/>
      <c r="K210" s="16"/>
    </row>
    <row r="211" spans="1:11" ht="12.75" x14ac:dyDescent="0.2">
      <c r="A211" s="16"/>
      <c r="K211" s="16"/>
    </row>
    <row r="212" spans="1:11" ht="12.75" x14ac:dyDescent="0.2">
      <c r="A212" s="16"/>
      <c r="K212" s="16"/>
    </row>
    <row r="213" spans="1:11" ht="12.75" x14ac:dyDescent="0.2">
      <c r="A213" s="16"/>
      <c r="K213" s="16"/>
    </row>
    <row r="214" spans="1:11" ht="12.75" x14ac:dyDescent="0.2">
      <c r="A214" s="16"/>
      <c r="K214" s="16"/>
    </row>
    <row r="215" spans="1:11" ht="12.75" x14ac:dyDescent="0.2">
      <c r="A215" s="16"/>
      <c r="K215" s="16"/>
    </row>
    <row r="216" spans="1:11" ht="12.75" x14ac:dyDescent="0.2">
      <c r="A216" s="16"/>
      <c r="K216" s="16"/>
    </row>
    <row r="217" spans="1:11" ht="12.75" x14ac:dyDescent="0.2">
      <c r="A217" s="16"/>
      <c r="K217" s="16"/>
    </row>
    <row r="218" spans="1:11" ht="12.75" x14ac:dyDescent="0.2">
      <c r="A218" s="16"/>
      <c r="K218" s="16"/>
    </row>
    <row r="219" spans="1:11" ht="12.75" x14ac:dyDescent="0.2">
      <c r="A219" s="16"/>
      <c r="K219" s="16"/>
    </row>
    <row r="220" spans="1:11" ht="12.75" x14ac:dyDescent="0.2">
      <c r="A220" s="16"/>
      <c r="K220" s="16"/>
    </row>
    <row r="221" spans="1:11" ht="12.75" x14ac:dyDescent="0.2">
      <c r="A221" s="16"/>
      <c r="K221" s="16"/>
    </row>
    <row r="222" spans="1:11" ht="12.75" x14ac:dyDescent="0.2">
      <c r="A222" s="16"/>
      <c r="K222" s="16"/>
    </row>
    <row r="223" spans="1:11" ht="12.75" x14ac:dyDescent="0.2">
      <c r="A223" s="16"/>
      <c r="K223" s="16"/>
    </row>
    <row r="224" spans="1:11" ht="12.75" x14ac:dyDescent="0.2">
      <c r="A224" s="16"/>
      <c r="K224" s="16"/>
    </row>
    <row r="225" spans="1:11" ht="12.75" x14ac:dyDescent="0.2">
      <c r="A225" s="16"/>
      <c r="K225" s="16"/>
    </row>
    <row r="226" spans="1:11" ht="12.75" x14ac:dyDescent="0.2">
      <c r="A226" s="16"/>
      <c r="K226" s="16"/>
    </row>
    <row r="227" spans="1:11" ht="12.75" x14ac:dyDescent="0.2">
      <c r="A227" s="16"/>
      <c r="K227" s="16"/>
    </row>
    <row r="228" spans="1:11" ht="12.75" x14ac:dyDescent="0.2">
      <c r="A228" s="16"/>
      <c r="K228" s="16"/>
    </row>
    <row r="229" spans="1:11" ht="12.75" x14ac:dyDescent="0.2">
      <c r="A229" s="16"/>
      <c r="K229" s="16"/>
    </row>
    <row r="230" spans="1:11" ht="12.75" x14ac:dyDescent="0.2">
      <c r="A230" s="16"/>
      <c r="K230" s="16"/>
    </row>
    <row r="231" spans="1:11" ht="12.75" x14ac:dyDescent="0.2">
      <c r="A231" s="16"/>
      <c r="K231" s="16"/>
    </row>
    <row r="232" spans="1:11" ht="12.75" x14ac:dyDescent="0.2">
      <c r="A232" s="16"/>
      <c r="K232" s="16"/>
    </row>
    <row r="233" spans="1:11" ht="12.75" x14ac:dyDescent="0.2">
      <c r="A233" s="16"/>
      <c r="K233" s="16"/>
    </row>
    <row r="234" spans="1:11" ht="12.75" x14ac:dyDescent="0.2">
      <c r="A234" s="16"/>
      <c r="K234" s="16"/>
    </row>
    <row r="235" spans="1:11" ht="12.75" x14ac:dyDescent="0.2">
      <c r="A235" s="16"/>
      <c r="K235" s="16"/>
    </row>
    <row r="236" spans="1:11" ht="12.75" x14ac:dyDescent="0.2">
      <c r="A236" s="16"/>
      <c r="K236" s="16"/>
    </row>
    <row r="237" spans="1:11" ht="12.75" x14ac:dyDescent="0.2">
      <c r="A237" s="16"/>
      <c r="K237" s="16"/>
    </row>
    <row r="238" spans="1:11" ht="12.75" x14ac:dyDescent="0.2">
      <c r="A238" s="16"/>
      <c r="K238" s="16"/>
    </row>
    <row r="239" spans="1:11" ht="12.75" x14ac:dyDescent="0.2">
      <c r="A239" s="16"/>
      <c r="K239" s="16"/>
    </row>
    <row r="240" spans="1:11" ht="12.75" x14ac:dyDescent="0.2">
      <c r="A240" s="16"/>
      <c r="K240" s="16"/>
    </row>
    <row r="241" spans="1:11" ht="12.75" x14ac:dyDescent="0.2">
      <c r="A241" s="16"/>
      <c r="K241" s="16"/>
    </row>
    <row r="242" spans="1:11" ht="12.75" x14ac:dyDescent="0.2">
      <c r="A242" s="16"/>
      <c r="K242" s="16"/>
    </row>
    <row r="243" spans="1:11" ht="12.75" x14ac:dyDescent="0.2">
      <c r="A243" s="16"/>
      <c r="K243" s="16"/>
    </row>
    <row r="244" spans="1:11" ht="12.75" x14ac:dyDescent="0.2">
      <c r="A244" s="16"/>
      <c r="K244" s="16"/>
    </row>
    <row r="245" spans="1:11" ht="12.75" x14ac:dyDescent="0.2">
      <c r="A245" s="16"/>
      <c r="K245" s="16"/>
    </row>
    <row r="246" spans="1:11" ht="12.75" x14ac:dyDescent="0.2">
      <c r="A246" s="16"/>
      <c r="K246" s="16"/>
    </row>
    <row r="247" spans="1:11" ht="12.75" x14ac:dyDescent="0.2">
      <c r="A247" s="16"/>
      <c r="K247" s="16"/>
    </row>
    <row r="248" spans="1:11" ht="12.75" x14ac:dyDescent="0.2">
      <c r="A248" s="16"/>
      <c r="K248" s="16"/>
    </row>
    <row r="249" spans="1:11" ht="12.75" x14ac:dyDescent="0.2">
      <c r="A249" s="16"/>
      <c r="K249" s="16"/>
    </row>
    <row r="250" spans="1:11" ht="12.75" x14ac:dyDescent="0.2">
      <c r="A250" s="16"/>
      <c r="K250" s="16"/>
    </row>
    <row r="251" spans="1:11" ht="12.75" x14ac:dyDescent="0.2">
      <c r="A251" s="16"/>
      <c r="K251" s="16"/>
    </row>
    <row r="252" spans="1:11" ht="12.75" x14ac:dyDescent="0.2">
      <c r="A252" s="16"/>
      <c r="K252" s="16"/>
    </row>
    <row r="253" spans="1:11" ht="12.75" x14ac:dyDescent="0.2">
      <c r="A253" s="16"/>
      <c r="K253" s="16"/>
    </row>
    <row r="254" spans="1:11" ht="12.75" x14ac:dyDescent="0.2">
      <c r="A254" s="16"/>
      <c r="K254" s="16"/>
    </row>
    <row r="255" spans="1:11" ht="12.75" x14ac:dyDescent="0.2">
      <c r="A255" s="16"/>
      <c r="K255" s="16"/>
    </row>
    <row r="256" spans="1:11" ht="12.75" x14ac:dyDescent="0.2">
      <c r="A256" s="16"/>
      <c r="K256" s="16"/>
    </row>
    <row r="257" spans="1:11" ht="12.75" x14ac:dyDescent="0.2">
      <c r="A257" s="16"/>
      <c r="K257" s="16"/>
    </row>
    <row r="258" spans="1:11" ht="12.75" x14ac:dyDescent="0.2">
      <c r="A258" s="16"/>
      <c r="K258" s="16"/>
    </row>
    <row r="259" spans="1:11" ht="12.75" x14ac:dyDescent="0.2">
      <c r="A259" s="16"/>
      <c r="K259" s="16"/>
    </row>
    <row r="260" spans="1:11" ht="12.75" x14ac:dyDescent="0.2">
      <c r="A260" s="16"/>
      <c r="K260" s="16"/>
    </row>
    <row r="261" spans="1:11" ht="12.75" x14ac:dyDescent="0.2">
      <c r="A261" s="16"/>
      <c r="K261" s="16"/>
    </row>
    <row r="262" spans="1:11" ht="12.75" x14ac:dyDescent="0.2">
      <c r="A262" s="16"/>
      <c r="K262" s="16"/>
    </row>
    <row r="263" spans="1:11" ht="12.75" x14ac:dyDescent="0.2">
      <c r="A263" s="16"/>
      <c r="K263" s="16"/>
    </row>
    <row r="264" spans="1:11" ht="12.75" x14ac:dyDescent="0.2">
      <c r="A264" s="16"/>
      <c r="K264" s="16"/>
    </row>
    <row r="265" spans="1:11" ht="12.75" x14ac:dyDescent="0.2">
      <c r="A265" s="16"/>
      <c r="K265" s="16"/>
    </row>
    <row r="266" spans="1:11" ht="12.75" x14ac:dyDescent="0.2">
      <c r="A266" s="16"/>
      <c r="K266" s="16"/>
    </row>
    <row r="267" spans="1:11" ht="12.75" x14ac:dyDescent="0.2">
      <c r="A267" s="16"/>
      <c r="K267" s="16"/>
    </row>
    <row r="268" spans="1:11" ht="12.75" x14ac:dyDescent="0.2">
      <c r="A268" s="16"/>
      <c r="K268" s="16"/>
    </row>
    <row r="269" spans="1:11" ht="12.75" x14ac:dyDescent="0.2">
      <c r="A269" s="16"/>
      <c r="K269" s="16"/>
    </row>
    <row r="270" spans="1:11" ht="12.75" x14ac:dyDescent="0.2">
      <c r="A270" s="16"/>
      <c r="K270" s="16"/>
    </row>
    <row r="271" spans="1:11" ht="12.75" x14ac:dyDescent="0.2">
      <c r="A271" s="16"/>
      <c r="K271" s="16"/>
    </row>
    <row r="272" spans="1:11" ht="12.75" x14ac:dyDescent="0.2">
      <c r="A272" s="16"/>
      <c r="K272" s="16"/>
    </row>
    <row r="273" spans="1:11" ht="12.75" x14ac:dyDescent="0.2">
      <c r="A273" s="16"/>
      <c r="K273" s="16"/>
    </row>
    <row r="274" spans="1:11" ht="12.75" x14ac:dyDescent="0.2">
      <c r="A274" s="16"/>
      <c r="K274" s="16"/>
    </row>
    <row r="275" spans="1:11" ht="12.75" x14ac:dyDescent="0.2">
      <c r="A275" s="16"/>
      <c r="K275" s="16"/>
    </row>
    <row r="276" spans="1:11" ht="12.75" x14ac:dyDescent="0.2">
      <c r="A276" s="16"/>
      <c r="K276" s="16"/>
    </row>
    <row r="277" spans="1:11" ht="12.75" x14ac:dyDescent="0.2">
      <c r="A277" s="16"/>
      <c r="K277" s="16"/>
    </row>
    <row r="278" spans="1:11" ht="12.75" x14ac:dyDescent="0.2">
      <c r="A278" s="16"/>
      <c r="K278" s="16"/>
    </row>
    <row r="279" spans="1:11" ht="12.75" x14ac:dyDescent="0.2">
      <c r="A279" s="16"/>
      <c r="K279" s="16"/>
    </row>
    <row r="280" spans="1:11" ht="12.75" x14ac:dyDescent="0.2">
      <c r="A280" s="16"/>
      <c r="K280" s="16"/>
    </row>
    <row r="281" spans="1:11" ht="12.75" x14ac:dyDescent="0.2">
      <c r="A281" s="16"/>
      <c r="K281" s="16"/>
    </row>
    <row r="282" spans="1:11" ht="12.75" x14ac:dyDescent="0.2">
      <c r="A282" s="16"/>
      <c r="K282" s="16"/>
    </row>
    <row r="283" spans="1:11" ht="12.75" x14ac:dyDescent="0.2">
      <c r="A283" s="16"/>
      <c r="K283" s="16"/>
    </row>
    <row r="284" spans="1:11" ht="12.75" x14ac:dyDescent="0.2">
      <c r="A284" s="16"/>
      <c r="K284" s="16"/>
    </row>
    <row r="285" spans="1:11" ht="12.75" x14ac:dyDescent="0.2">
      <c r="A285" s="16"/>
      <c r="K285" s="16"/>
    </row>
    <row r="286" spans="1:11" ht="12.75" x14ac:dyDescent="0.2">
      <c r="A286" s="16"/>
      <c r="K286" s="16"/>
    </row>
    <row r="287" spans="1:11" ht="12.75" x14ac:dyDescent="0.2">
      <c r="A287" s="16"/>
      <c r="K287" s="16"/>
    </row>
    <row r="288" spans="1:11" ht="12.75" x14ac:dyDescent="0.2">
      <c r="A288" s="16"/>
      <c r="K288" s="16"/>
    </row>
    <row r="289" spans="1:11" ht="12.75" x14ac:dyDescent="0.2">
      <c r="A289" s="16"/>
      <c r="K289" s="16"/>
    </row>
    <row r="290" spans="1:11" ht="12.75" x14ac:dyDescent="0.2">
      <c r="A290" s="16"/>
      <c r="K290" s="16"/>
    </row>
    <row r="291" spans="1:11" ht="12.75" x14ac:dyDescent="0.2">
      <c r="A291" s="16"/>
      <c r="K291" s="16"/>
    </row>
    <row r="292" spans="1:11" ht="12.75" x14ac:dyDescent="0.2">
      <c r="A292" s="16"/>
      <c r="K292" s="16"/>
    </row>
    <row r="293" spans="1:11" ht="12.75" x14ac:dyDescent="0.2">
      <c r="A293" s="16"/>
      <c r="K293" s="16"/>
    </row>
    <row r="294" spans="1:11" ht="12.75" x14ac:dyDescent="0.2">
      <c r="A294" s="16"/>
      <c r="K294" s="16"/>
    </row>
    <row r="295" spans="1:11" ht="12.75" x14ac:dyDescent="0.2">
      <c r="A295" s="16"/>
      <c r="K295" s="16"/>
    </row>
    <row r="296" spans="1:11" ht="12.75" x14ac:dyDescent="0.2">
      <c r="A296" s="16"/>
      <c r="K296" s="16"/>
    </row>
    <row r="297" spans="1:11" ht="12.75" x14ac:dyDescent="0.2">
      <c r="A297" s="16"/>
      <c r="K297" s="16"/>
    </row>
    <row r="298" spans="1:11" ht="12.75" x14ac:dyDescent="0.2">
      <c r="A298" s="16"/>
      <c r="K298" s="16"/>
    </row>
    <row r="299" spans="1:11" ht="12.75" x14ac:dyDescent="0.2">
      <c r="A299" s="16"/>
      <c r="K299" s="16"/>
    </row>
    <row r="300" spans="1:11" ht="12.75" x14ac:dyDescent="0.2">
      <c r="A300" s="16"/>
      <c r="K300" s="16"/>
    </row>
    <row r="301" spans="1:11" ht="12.75" x14ac:dyDescent="0.2">
      <c r="A301" s="16"/>
      <c r="K301" s="16"/>
    </row>
    <row r="302" spans="1:11" ht="12.75" x14ac:dyDescent="0.2">
      <c r="A302" s="16"/>
      <c r="K302" s="16"/>
    </row>
    <row r="303" spans="1:11" ht="12.75" x14ac:dyDescent="0.2">
      <c r="A303" s="16"/>
      <c r="K303" s="16"/>
    </row>
    <row r="304" spans="1:11" ht="12.75" x14ac:dyDescent="0.2">
      <c r="A304" s="16"/>
      <c r="K304" s="16"/>
    </row>
    <row r="305" spans="1:11" ht="12.75" x14ac:dyDescent="0.2">
      <c r="A305" s="16"/>
      <c r="K305" s="16"/>
    </row>
    <row r="306" spans="1:11" ht="12.75" x14ac:dyDescent="0.2">
      <c r="A306" s="16"/>
      <c r="K306" s="16"/>
    </row>
    <row r="307" spans="1:11" ht="12.75" x14ac:dyDescent="0.2">
      <c r="A307" s="16"/>
      <c r="K307" s="16"/>
    </row>
    <row r="308" spans="1:11" ht="12.75" x14ac:dyDescent="0.2">
      <c r="A308" s="16"/>
      <c r="K308" s="16"/>
    </row>
    <row r="309" spans="1:11" ht="12.75" x14ac:dyDescent="0.2">
      <c r="A309" s="16"/>
      <c r="K309" s="16"/>
    </row>
    <row r="310" spans="1:11" ht="12.75" x14ac:dyDescent="0.2">
      <c r="A310" s="16"/>
      <c r="K310" s="16"/>
    </row>
    <row r="311" spans="1:11" ht="12.75" x14ac:dyDescent="0.2">
      <c r="A311" s="16"/>
      <c r="K311" s="16"/>
    </row>
    <row r="312" spans="1:11" ht="12.75" x14ac:dyDescent="0.2">
      <c r="A312" s="16"/>
      <c r="K312" s="16"/>
    </row>
    <row r="313" spans="1:11" ht="12.75" x14ac:dyDescent="0.2">
      <c r="A313" s="16"/>
      <c r="K313" s="16"/>
    </row>
    <row r="314" spans="1:11" ht="12.75" x14ac:dyDescent="0.2">
      <c r="A314" s="16"/>
      <c r="K314" s="16"/>
    </row>
    <row r="315" spans="1:11" ht="12.75" x14ac:dyDescent="0.2">
      <c r="A315" s="16"/>
      <c r="K315" s="16"/>
    </row>
    <row r="316" spans="1:11" ht="12.75" x14ac:dyDescent="0.2">
      <c r="A316" s="16"/>
      <c r="K316" s="16"/>
    </row>
    <row r="317" spans="1:11" ht="12.75" x14ac:dyDescent="0.2">
      <c r="A317" s="16"/>
      <c r="K317" s="16"/>
    </row>
    <row r="318" spans="1:11" ht="12.75" x14ac:dyDescent="0.2">
      <c r="A318" s="16"/>
      <c r="K318" s="16"/>
    </row>
    <row r="319" spans="1:11" ht="12.75" x14ac:dyDescent="0.2">
      <c r="A319" s="16"/>
      <c r="K319" s="16"/>
    </row>
    <row r="320" spans="1:11" ht="12.75" x14ac:dyDescent="0.2">
      <c r="A320" s="16"/>
      <c r="K320" s="16"/>
    </row>
    <row r="321" spans="1:11" ht="12.75" x14ac:dyDescent="0.2">
      <c r="A321" s="16"/>
      <c r="K321" s="16"/>
    </row>
    <row r="322" spans="1:11" ht="12.75" x14ac:dyDescent="0.2">
      <c r="A322" s="16"/>
      <c r="K322" s="16"/>
    </row>
    <row r="323" spans="1:11" ht="12.75" x14ac:dyDescent="0.2">
      <c r="A323" s="16"/>
      <c r="K323" s="16"/>
    </row>
    <row r="324" spans="1:11" ht="12.75" x14ac:dyDescent="0.2">
      <c r="A324" s="16"/>
      <c r="K324" s="16"/>
    </row>
    <row r="325" spans="1:11" ht="12.75" x14ac:dyDescent="0.2">
      <c r="A325" s="16"/>
      <c r="K325" s="16"/>
    </row>
    <row r="326" spans="1:11" ht="12.75" x14ac:dyDescent="0.2">
      <c r="A326" s="16"/>
      <c r="K326" s="16"/>
    </row>
    <row r="327" spans="1:11" ht="12.75" x14ac:dyDescent="0.2">
      <c r="A327" s="16"/>
      <c r="K327" s="16"/>
    </row>
    <row r="328" spans="1:11" ht="12.75" x14ac:dyDescent="0.2">
      <c r="A328" s="16"/>
      <c r="K328" s="16"/>
    </row>
    <row r="329" spans="1:11" ht="12.75" x14ac:dyDescent="0.2">
      <c r="A329" s="16"/>
      <c r="K329" s="16"/>
    </row>
    <row r="330" spans="1:11" ht="12.75" x14ac:dyDescent="0.2">
      <c r="A330" s="16"/>
      <c r="K330" s="16"/>
    </row>
    <row r="331" spans="1:11" ht="12.75" x14ac:dyDescent="0.2">
      <c r="A331" s="16"/>
      <c r="K331" s="16"/>
    </row>
    <row r="332" spans="1:11" ht="12.75" x14ac:dyDescent="0.2">
      <c r="A332" s="16"/>
      <c r="K332" s="16"/>
    </row>
    <row r="333" spans="1:11" ht="12.75" x14ac:dyDescent="0.2">
      <c r="A333" s="16"/>
      <c r="K333" s="16"/>
    </row>
    <row r="334" spans="1:11" ht="12.75" x14ac:dyDescent="0.2">
      <c r="A334" s="16"/>
      <c r="K334" s="16"/>
    </row>
    <row r="335" spans="1:11" ht="12.75" x14ac:dyDescent="0.2">
      <c r="A335" s="16"/>
      <c r="K335" s="16"/>
    </row>
    <row r="336" spans="1:11" ht="12.75" x14ac:dyDescent="0.2">
      <c r="A336" s="16"/>
      <c r="K336" s="16"/>
    </row>
    <row r="337" spans="1:11" ht="12.75" x14ac:dyDescent="0.2">
      <c r="A337" s="16"/>
      <c r="K337" s="16"/>
    </row>
    <row r="338" spans="1:11" ht="12.75" x14ac:dyDescent="0.2">
      <c r="A338" s="16"/>
      <c r="K338" s="16"/>
    </row>
    <row r="339" spans="1:11" ht="12.75" x14ac:dyDescent="0.2">
      <c r="A339" s="16"/>
      <c r="K339" s="16"/>
    </row>
    <row r="340" spans="1:11" ht="12.75" x14ac:dyDescent="0.2">
      <c r="A340" s="16"/>
      <c r="K340" s="16"/>
    </row>
    <row r="341" spans="1:11" ht="12.75" x14ac:dyDescent="0.2">
      <c r="A341" s="16"/>
      <c r="K341" s="16"/>
    </row>
    <row r="342" spans="1:11" ht="12.75" x14ac:dyDescent="0.2">
      <c r="A342" s="16"/>
      <c r="K342" s="16"/>
    </row>
    <row r="343" spans="1:11" ht="12.75" x14ac:dyDescent="0.2">
      <c r="A343" s="16"/>
      <c r="K343" s="16"/>
    </row>
    <row r="344" spans="1:11" ht="12.75" x14ac:dyDescent="0.2">
      <c r="A344" s="16"/>
      <c r="K344" s="16"/>
    </row>
    <row r="345" spans="1:11" ht="12.75" x14ac:dyDescent="0.2">
      <c r="A345" s="16"/>
      <c r="K345" s="16"/>
    </row>
    <row r="346" spans="1:11" ht="12.75" x14ac:dyDescent="0.2">
      <c r="A346" s="16"/>
      <c r="K346" s="16"/>
    </row>
    <row r="347" spans="1:11" ht="12.75" x14ac:dyDescent="0.2">
      <c r="A347" s="16"/>
      <c r="K347" s="16"/>
    </row>
    <row r="348" spans="1:11" ht="12.75" x14ac:dyDescent="0.2">
      <c r="A348" s="16"/>
      <c r="K348" s="16"/>
    </row>
    <row r="349" spans="1:11" ht="12.75" x14ac:dyDescent="0.2">
      <c r="A349" s="16"/>
      <c r="K349" s="16"/>
    </row>
    <row r="350" spans="1:11" ht="12.75" x14ac:dyDescent="0.2">
      <c r="A350" s="16"/>
      <c r="K350" s="16"/>
    </row>
    <row r="351" spans="1:11" ht="12.75" x14ac:dyDescent="0.2">
      <c r="A351" s="16"/>
      <c r="K351" s="16"/>
    </row>
    <row r="352" spans="1:11" ht="12.75" x14ac:dyDescent="0.2">
      <c r="A352" s="16"/>
      <c r="K352" s="16"/>
    </row>
    <row r="353" spans="1:11" ht="12.75" x14ac:dyDescent="0.2">
      <c r="A353" s="16"/>
      <c r="K353" s="16"/>
    </row>
    <row r="354" spans="1:11" ht="12.75" x14ac:dyDescent="0.2">
      <c r="A354" s="16"/>
      <c r="K354" s="16"/>
    </row>
    <row r="355" spans="1:11" ht="12.75" x14ac:dyDescent="0.2">
      <c r="A355" s="16"/>
      <c r="K355" s="16"/>
    </row>
    <row r="356" spans="1:11" ht="12.75" x14ac:dyDescent="0.2">
      <c r="A356" s="16"/>
      <c r="K356" s="16"/>
    </row>
    <row r="357" spans="1:11" ht="12.75" x14ac:dyDescent="0.2">
      <c r="A357" s="16"/>
      <c r="K357" s="16"/>
    </row>
    <row r="358" spans="1:11" ht="12.75" x14ac:dyDescent="0.2">
      <c r="A358" s="16"/>
      <c r="K358" s="16"/>
    </row>
    <row r="359" spans="1:11" ht="12.75" x14ac:dyDescent="0.2">
      <c r="A359" s="16"/>
      <c r="K359" s="16"/>
    </row>
    <row r="360" spans="1:11" ht="12.75" x14ac:dyDescent="0.2">
      <c r="A360" s="16"/>
      <c r="K360" s="16"/>
    </row>
    <row r="361" spans="1:11" ht="12.75" x14ac:dyDescent="0.2">
      <c r="A361" s="16"/>
      <c r="K361" s="16"/>
    </row>
    <row r="362" spans="1:11" ht="12.75" x14ac:dyDescent="0.2">
      <c r="A362" s="16"/>
      <c r="K362" s="16"/>
    </row>
    <row r="363" spans="1:11" ht="12.75" x14ac:dyDescent="0.2">
      <c r="A363" s="16"/>
      <c r="K363" s="16"/>
    </row>
    <row r="364" spans="1:11" ht="12.75" x14ac:dyDescent="0.2">
      <c r="A364" s="16"/>
      <c r="K364" s="16"/>
    </row>
    <row r="365" spans="1:11" ht="12.75" x14ac:dyDescent="0.2">
      <c r="A365" s="16"/>
      <c r="K365" s="16"/>
    </row>
    <row r="366" spans="1:11" ht="12.75" x14ac:dyDescent="0.2">
      <c r="A366" s="16"/>
      <c r="K366" s="16"/>
    </row>
    <row r="367" spans="1:11" ht="12.75" x14ac:dyDescent="0.2">
      <c r="A367" s="16"/>
      <c r="K367" s="16"/>
    </row>
    <row r="368" spans="1:11" ht="12.75" x14ac:dyDescent="0.2">
      <c r="A368" s="16"/>
      <c r="K368" s="16"/>
    </row>
    <row r="369" spans="1:11" ht="12.75" x14ac:dyDescent="0.2">
      <c r="A369" s="16"/>
      <c r="K369" s="16"/>
    </row>
    <row r="370" spans="1:11" ht="12.75" x14ac:dyDescent="0.2">
      <c r="A370" s="16"/>
      <c r="K370" s="16"/>
    </row>
    <row r="371" spans="1:11" ht="12.75" x14ac:dyDescent="0.2">
      <c r="A371" s="16"/>
      <c r="K371" s="16"/>
    </row>
    <row r="372" spans="1:11" ht="12.75" x14ac:dyDescent="0.2">
      <c r="A372" s="16"/>
      <c r="K372" s="16"/>
    </row>
    <row r="373" spans="1:11" ht="12.75" x14ac:dyDescent="0.2">
      <c r="A373" s="16"/>
      <c r="K373" s="16"/>
    </row>
    <row r="374" spans="1:11" ht="12.75" x14ac:dyDescent="0.2">
      <c r="A374" s="16"/>
      <c r="K374" s="16"/>
    </row>
    <row r="375" spans="1:11" ht="12.75" x14ac:dyDescent="0.2">
      <c r="A375" s="16"/>
      <c r="K375" s="16"/>
    </row>
    <row r="376" spans="1:11" ht="12.75" x14ac:dyDescent="0.2">
      <c r="A376" s="16"/>
      <c r="K376" s="16"/>
    </row>
    <row r="377" spans="1:11" ht="12.75" x14ac:dyDescent="0.2">
      <c r="A377" s="16"/>
      <c r="K377" s="16"/>
    </row>
    <row r="378" spans="1:11" ht="12.75" x14ac:dyDescent="0.2">
      <c r="A378" s="16"/>
      <c r="K378" s="16"/>
    </row>
    <row r="379" spans="1:11" ht="12.75" x14ac:dyDescent="0.2">
      <c r="A379" s="16"/>
      <c r="K379" s="16"/>
    </row>
    <row r="380" spans="1:11" ht="12.75" x14ac:dyDescent="0.2">
      <c r="A380" s="16"/>
      <c r="K380" s="16"/>
    </row>
    <row r="381" spans="1:11" ht="12.75" x14ac:dyDescent="0.2">
      <c r="A381" s="16"/>
      <c r="K381" s="16"/>
    </row>
    <row r="382" spans="1:11" ht="12.75" x14ac:dyDescent="0.2">
      <c r="A382" s="16"/>
      <c r="K382" s="16"/>
    </row>
    <row r="383" spans="1:11" ht="12.75" x14ac:dyDescent="0.2">
      <c r="A383" s="16"/>
      <c r="K383" s="16"/>
    </row>
    <row r="384" spans="1:11" ht="12.75" x14ac:dyDescent="0.2">
      <c r="A384" s="16"/>
      <c r="K384" s="16"/>
    </row>
    <row r="385" spans="1:11" ht="12.75" x14ac:dyDescent="0.2">
      <c r="A385" s="16"/>
      <c r="K385" s="16"/>
    </row>
    <row r="386" spans="1:11" ht="12.75" x14ac:dyDescent="0.2">
      <c r="A386" s="16"/>
      <c r="K386" s="16"/>
    </row>
    <row r="387" spans="1:11" ht="12.75" x14ac:dyDescent="0.2">
      <c r="A387" s="16"/>
      <c r="K387" s="16"/>
    </row>
    <row r="388" spans="1:11" ht="12.75" x14ac:dyDescent="0.2">
      <c r="A388" s="16"/>
      <c r="K388" s="16"/>
    </row>
    <row r="389" spans="1:11" ht="12.75" x14ac:dyDescent="0.2">
      <c r="A389" s="16"/>
      <c r="K389" s="16"/>
    </row>
    <row r="390" spans="1:11" ht="12.75" x14ac:dyDescent="0.2">
      <c r="A390" s="16"/>
      <c r="K390" s="16"/>
    </row>
    <row r="391" spans="1:11" ht="12.75" x14ac:dyDescent="0.2">
      <c r="A391" s="16"/>
      <c r="K391" s="16"/>
    </row>
    <row r="392" spans="1:11" ht="12.75" x14ac:dyDescent="0.2">
      <c r="A392" s="16"/>
      <c r="K392" s="16"/>
    </row>
    <row r="393" spans="1:11" ht="12.75" x14ac:dyDescent="0.2">
      <c r="A393" s="16"/>
      <c r="K393" s="16"/>
    </row>
    <row r="394" spans="1:11" ht="12.75" x14ac:dyDescent="0.2">
      <c r="A394" s="16"/>
      <c r="K394" s="16"/>
    </row>
    <row r="395" spans="1:11" ht="12.75" x14ac:dyDescent="0.2">
      <c r="A395" s="16"/>
      <c r="K395" s="16"/>
    </row>
    <row r="396" spans="1:11" ht="12.75" x14ac:dyDescent="0.2">
      <c r="A396" s="16"/>
      <c r="K396" s="16"/>
    </row>
    <row r="397" spans="1:11" ht="12.75" x14ac:dyDescent="0.2">
      <c r="A397" s="16"/>
      <c r="K397" s="16"/>
    </row>
    <row r="398" spans="1:11" ht="12.75" x14ac:dyDescent="0.2">
      <c r="A398" s="16"/>
      <c r="K398" s="16"/>
    </row>
    <row r="399" spans="1:11" ht="12.75" x14ac:dyDescent="0.2">
      <c r="A399" s="16"/>
      <c r="K399" s="16"/>
    </row>
    <row r="400" spans="1:11" ht="12.75" x14ac:dyDescent="0.2">
      <c r="A400" s="16"/>
      <c r="K400" s="16"/>
    </row>
    <row r="401" spans="1:11" ht="12.75" x14ac:dyDescent="0.2">
      <c r="A401" s="16"/>
      <c r="K401" s="16"/>
    </row>
    <row r="402" spans="1:11" ht="12.75" x14ac:dyDescent="0.2">
      <c r="A402" s="16"/>
      <c r="K402" s="16"/>
    </row>
    <row r="403" spans="1:11" ht="12.75" x14ac:dyDescent="0.2">
      <c r="A403" s="16"/>
      <c r="K403" s="16"/>
    </row>
    <row r="404" spans="1:11" ht="12.75" x14ac:dyDescent="0.2">
      <c r="A404" s="16"/>
      <c r="K404" s="16"/>
    </row>
    <row r="405" spans="1:11" ht="12.75" x14ac:dyDescent="0.2">
      <c r="A405" s="16"/>
      <c r="K405" s="16"/>
    </row>
    <row r="406" spans="1:11" ht="12.75" x14ac:dyDescent="0.2">
      <c r="A406" s="16"/>
      <c r="K406" s="16"/>
    </row>
    <row r="407" spans="1:11" ht="12.75" x14ac:dyDescent="0.2">
      <c r="A407" s="16"/>
      <c r="K407" s="16"/>
    </row>
    <row r="408" spans="1:11" ht="12.75" x14ac:dyDescent="0.2">
      <c r="A408" s="16"/>
      <c r="K408" s="16"/>
    </row>
    <row r="409" spans="1:11" ht="12.75" x14ac:dyDescent="0.2">
      <c r="A409" s="16"/>
      <c r="K409" s="16"/>
    </row>
    <row r="410" spans="1:11" ht="12.75" x14ac:dyDescent="0.2">
      <c r="A410" s="16"/>
      <c r="K410" s="16"/>
    </row>
    <row r="411" spans="1:11" ht="12.75" x14ac:dyDescent="0.2">
      <c r="A411" s="16"/>
      <c r="K411" s="16"/>
    </row>
    <row r="412" spans="1:11" ht="12.75" x14ac:dyDescent="0.2">
      <c r="A412" s="16"/>
      <c r="K412" s="16"/>
    </row>
    <row r="413" spans="1:11" ht="12.75" x14ac:dyDescent="0.2">
      <c r="A413" s="16"/>
      <c r="K413" s="16"/>
    </row>
    <row r="414" spans="1:11" ht="12.75" x14ac:dyDescent="0.2">
      <c r="A414" s="16"/>
      <c r="K414" s="16"/>
    </row>
    <row r="415" spans="1:11" ht="12.75" x14ac:dyDescent="0.2">
      <c r="A415" s="16"/>
      <c r="K415" s="16"/>
    </row>
    <row r="416" spans="1:11" ht="12.75" x14ac:dyDescent="0.2">
      <c r="A416" s="16"/>
      <c r="K416" s="16"/>
    </row>
    <row r="417" spans="1:11" ht="12.75" x14ac:dyDescent="0.2">
      <c r="A417" s="16"/>
      <c r="K417" s="16"/>
    </row>
    <row r="418" spans="1:11" ht="12.75" x14ac:dyDescent="0.2">
      <c r="A418" s="16"/>
      <c r="K418" s="16"/>
    </row>
    <row r="419" spans="1:11" ht="12.75" x14ac:dyDescent="0.2">
      <c r="A419" s="16"/>
      <c r="K419" s="16"/>
    </row>
    <row r="420" spans="1:11" ht="12.75" x14ac:dyDescent="0.2">
      <c r="A420" s="16"/>
      <c r="K420" s="16"/>
    </row>
    <row r="421" spans="1:11" ht="12.75" x14ac:dyDescent="0.2">
      <c r="A421" s="16"/>
      <c r="K421" s="16"/>
    </row>
    <row r="422" spans="1:11" ht="12.75" x14ac:dyDescent="0.2">
      <c r="A422" s="16"/>
      <c r="K422" s="16"/>
    </row>
    <row r="423" spans="1:11" ht="12.75" x14ac:dyDescent="0.2">
      <c r="A423" s="16"/>
      <c r="K423" s="16"/>
    </row>
    <row r="424" spans="1:11" ht="12.75" x14ac:dyDescent="0.2">
      <c r="A424" s="16"/>
      <c r="K424" s="16"/>
    </row>
    <row r="425" spans="1:11" ht="12.75" x14ac:dyDescent="0.2">
      <c r="A425" s="16"/>
      <c r="K425" s="16"/>
    </row>
    <row r="426" spans="1:11" ht="12.75" x14ac:dyDescent="0.2">
      <c r="A426" s="16"/>
      <c r="K426" s="16"/>
    </row>
    <row r="427" spans="1:11" ht="12.75" x14ac:dyDescent="0.2">
      <c r="A427" s="16"/>
      <c r="K427" s="16"/>
    </row>
    <row r="428" spans="1:11" ht="12.75" x14ac:dyDescent="0.2">
      <c r="A428" s="16"/>
      <c r="K428" s="16"/>
    </row>
    <row r="429" spans="1:11" ht="12.75" x14ac:dyDescent="0.2">
      <c r="A429" s="16"/>
      <c r="K429" s="16"/>
    </row>
    <row r="430" spans="1:11" ht="12.75" x14ac:dyDescent="0.2">
      <c r="A430" s="16"/>
      <c r="K430" s="16"/>
    </row>
    <row r="431" spans="1:11" ht="12.75" x14ac:dyDescent="0.2">
      <c r="A431" s="16"/>
      <c r="K431" s="16"/>
    </row>
    <row r="432" spans="1:11" ht="12.75" x14ac:dyDescent="0.2">
      <c r="A432" s="16"/>
      <c r="K432" s="16"/>
    </row>
    <row r="433" spans="1:11" ht="12.75" x14ac:dyDescent="0.2">
      <c r="A433" s="16"/>
      <c r="K433" s="16"/>
    </row>
    <row r="434" spans="1:11" ht="12.75" x14ac:dyDescent="0.2">
      <c r="A434" s="16"/>
      <c r="K434" s="16"/>
    </row>
    <row r="435" spans="1:11" ht="12.75" x14ac:dyDescent="0.2">
      <c r="A435" s="16"/>
      <c r="K435" s="16"/>
    </row>
    <row r="436" spans="1:11" ht="12.75" x14ac:dyDescent="0.2">
      <c r="A436" s="16"/>
      <c r="K436" s="16"/>
    </row>
    <row r="437" spans="1:11" ht="12.75" x14ac:dyDescent="0.2">
      <c r="A437" s="16"/>
      <c r="K437" s="16"/>
    </row>
    <row r="438" spans="1:11" ht="12.75" x14ac:dyDescent="0.2">
      <c r="A438" s="16"/>
      <c r="K438" s="16"/>
    </row>
    <row r="439" spans="1:11" ht="12.75" x14ac:dyDescent="0.2">
      <c r="A439" s="16"/>
      <c r="K439" s="16"/>
    </row>
    <row r="440" spans="1:11" ht="12.75" x14ac:dyDescent="0.2">
      <c r="A440" s="16"/>
      <c r="K440" s="16"/>
    </row>
    <row r="441" spans="1:11" ht="12.75" x14ac:dyDescent="0.2">
      <c r="A441" s="16"/>
      <c r="K441" s="16"/>
    </row>
    <row r="442" spans="1:11" ht="12.75" x14ac:dyDescent="0.2">
      <c r="A442" s="16"/>
      <c r="K442" s="16"/>
    </row>
    <row r="443" spans="1:11" ht="12.75" x14ac:dyDescent="0.2">
      <c r="A443" s="16"/>
      <c r="K443" s="16"/>
    </row>
    <row r="444" spans="1:11" ht="12.75" x14ac:dyDescent="0.2">
      <c r="A444" s="16"/>
      <c r="K444" s="16"/>
    </row>
    <row r="445" spans="1:11" ht="12.75" x14ac:dyDescent="0.2">
      <c r="A445" s="16"/>
      <c r="K445" s="16"/>
    </row>
    <row r="446" spans="1:11" ht="12.75" x14ac:dyDescent="0.2">
      <c r="A446" s="16"/>
      <c r="K446" s="16"/>
    </row>
    <row r="447" spans="1:11" ht="12.75" x14ac:dyDescent="0.2">
      <c r="A447" s="16"/>
      <c r="K447" s="16"/>
    </row>
    <row r="448" spans="1:11" ht="12.75" x14ac:dyDescent="0.2">
      <c r="A448" s="16"/>
      <c r="K448" s="16"/>
    </row>
    <row r="449" spans="1:11" ht="12.75" x14ac:dyDescent="0.2">
      <c r="A449" s="16"/>
      <c r="K449" s="16"/>
    </row>
    <row r="450" spans="1:11" ht="12.75" x14ac:dyDescent="0.2">
      <c r="A450" s="16"/>
      <c r="K450" s="16"/>
    </row>
    <row r="451" spans="1:11" ht="12.75" x14ac:dyDescent="0.2">
      <c r="A451" s="16"/>
      <c r="K451" s="16"/>
    </row>
    <row r="452" spans="1:11" ht="12.75" x14ac:dyDescent="0.2">
      <c r="A452" s="16"/>
      <c r="K452" s="16"/>
    </row>
    <row r="453" spans="1:11" ht="12.75" x14ac:dyDescent="0.2">
      <c r="A453" s="16"/>
      <c r="K453" s="16"/>
    </row>
    <row r="454" spans="1:11" ht="12.75" x14ac:dyDescent="0.2">
      <c r="A454" s="16"/>
      <c r="K454" s="16"/>
    </row>
    <row r="455" spans="1:11" ht="12.75" x14ac:dyDescent="0.2">
      <c r="A455" s="16"/>
      <c r="K455" s="16"/>
    </row>
    <row r="456" spans="1:11" ht="12.75" x14ac:dyDescent="0.2">
      <c r="A456" s="16"/>
      <c r="K456" s="16"/>
    </row>
    <row r="457" spans="1:11" ht="12.75" x14ac:dyDescent="0.2">
      <c r="A457" s="16"/>
      <c r="K457" s="16"/>
    </row>
    <row r="458" spans="1:11" ht="12.75" x14ac:dyDescent="0.2">
      <c r="A458" s="16"/>
      <c r="K458" s="16"/>
    </row>
    <row r="459" spans="1:11" ht="12.75" x14ac:dyDescent="0.2">
      <c r="A459" s="16"/>
      <c r="K459" s="16"/>
    </row>
    <row r="460" spans="1:11" ht="12.75" x14ac:dyDescent="0.2">
      <c r="A460" s="16"/>
      <c r="K460" s="16"/>
    </row>
    <row r="461" spans="1:11" ht="12.75" x14ac:dyDescent="0.2">
      <c r="A461" s="16"/>
      <c r="K461" s="16"/>
    </row>
    <row r="462" spans="1:11" ht="12.75" x14ac:dyDescent="0.2">
      <c r="A462" s="16"/>
      <c r="K462" s="16"/>
    </row>
    <row r="463" spans="1:11" ht="12.75" x14ac:dyDescent="0.2">
      <c r="A463" s="16"/>
      <c r="K463" s="16"/>
    </row>
    <row r="464" spans="1:11" ht="12.75" x14ac:dyDescent="0.2">
      <c r="A464" s="16"/>
      <c r="K464" s="16"/>
    </row>
    <row r="465" spans="1:11" ht="12.75" x14ac:dyDescent="0.2">
      <c r="A465" s="16"/>
      <c r="K465" s="16"/>
    </row>
    <row r="466" spans="1:11" ht="12.75" x14ac:dyDescent="0.2">
      <c r="A466" s="16"/>
      <c r="K466" s="16"/>
    </row>
    <row r="467" spans="1:11" ht="12.75" x14ac:dyDescent="0.2">
      <c r="A467" s="16"/>
      <c r="K467" s="16"/>
    </row>
    <row r="468" spans="1:11" ht="12.75" x14ac:dyDescent="0.2">
      <c r="A468" s="16"/>
      <c r="K468" s="16"/>
    </row>
    <row r="469" spans="1:11" ht="12.75" x14ac:dyDescent="0.2">
      <c r="A469" s="16"/>
      <c r="K469" s="16"/>
    </row>
    <row r="470" spans="1:11" ht="12.75" x14ac:dyDescent="0.2">
      <c r="A470" s="16"/>
      <c r="K470" s="16"/>
    </row>
    <row r="471" spans="1:11" ht="12.75" x14ac:dyDescent="0.2">
      <c r="A471" s="16"/>
      <c r="K471" s="16"/>
    </row>
    <row r="472" spans="1:11" ht="12.75" x14ac:dyDescent="0.2">
      <c r="A472" s="16"/>
      <c r="K472" s="16"/>
    </row>
    <row r="473" spans="1:11" ht="12.75" x14ac:dyDescent="0.2">
      <c r="A473" s="16"/>
      <c r="K473" s="16"/>
    </row>
    <row r="474" spans="1:11" ht="12.75" x14ac:dyDescent="0.2">
      <c r="A474" s="16"/>
      <c r="K474" s="16"/>
    </row>
    <row r="475" spans="1:11" ht="12.75" x14ac:dyDescent="0.2">
      <c r="A475" s="16"/>
      <c r="K475" s="16"/>
    </row>
    <row r="476" spans="1:11" ht="12.75" x14ac:dyDescent="0.2">
      <c r="A476" s="16"/>
      <c r="K476" s="16"/>
    </row>
    <row r="477" spans="1:11" ht="12.75" x14ac:dyDescent="0.2">
      <c r="A477" s="16"/>
      <c r="K477" s="16"/>
    </row>
    <row r="478" spans="1:11" ht="12.75" x14ac:dyDescent="0.2">
      <c r="A478" s="16"/>
      <c r="K478" s="16"/>
    </row>
    <row r="479" spans="1:11" ht="12.75" x14ac:dyDescent="0.2">
      <c r="A479" s="16"/>
      <c r="K479" s="16"/>
    </row>
    <row r="480" spans="1:11" ht="12.75" x14ac:dyDescent="0.2">
      <c r="A480" s="16"/>
      <c r="K480" s="16"/>
    </row>
    <row r="481" spans="1:11" ht="12.75" x14ac:dyDescent="0.2">
      <c r="A481" s="16"/>
      <c r="K481" s="16"/>
    </row>
    <row r="482" spans="1:11" ht="12.75" x14ac:dyDescent="0.2">
      <c r="A482" s="16"/>
      <c r="K482" s="16"/>
    </row>
    <row r="483" spans="1:11" ht="12.75" x14ac:dyDescent="0.2">
      <c r="A483" s="16"/>
      <c r="K483" s="16"/>
    </row>
    <row r="484" spans="1:11" ht="12.75" x14ac:dyDescent="0.2">
      <c r="A484" s="16"/>
      <c r="K484" s="16"/>
    </row>
    <row r="485" spans="1:11" ht="12.75" x14ac:dyDescent="0.2">
      <c r="A485" s="16"/>
      <c r="K485" s="16"/>
    </row>
    <row r="486" spans="1:11" ht="12.75" x14ac:dyDescent="0.2">
      <c r="A486" s="16"/>
      <c r="K486" s="16"/>
    </row>
    <row r="487" spans="1:11" ht="12.75" x14ac:dyDescent="0.2">
      <c r="A487" s="16"/>
      <c r="K487" s="16"/>
    </row>
    <row r="488" spans="1:11" ht="12.75" x14ac:dyDescent="0.2">
      <c r="A488" s="16"/>
      <c r="K488" s="16"/>
    </row>
    <row r="489" spans="1:11" ht="12.75" x14ac:dyDescent="0.2">
      <c r="A489" s="16"/>
      <c r="K489" s="16"/>
    </row>
    <row r="490" spans="1:11" ht="12.75" x14ac:dyDescent="0.2">
      <c r="A490" s="16"/>
      <c r="K490" s="16"/>
    </row>
    <row r="491" spans="1:11" ht="12.75" x14ac:dyDescent="0.2">
      <c r="A491" s="16"/>
      <c r="K491" s="16"/>
    </row>
    <row r="492" spans="1:11" ht="12.75" x14ac:dyDescent="0.2">
      <c r="A492" s="16"/>
      <c r="K492" s="16"/>
    </row>
    <row r="493" spans="1:11" ht="12.75" x14ac:dyDescent="0.2">
      <c r="A493" s="16"/>
      <c r="K493" s="16"/>
    </row>
    <row r="494" spans="1:11" ht="12.75" x14ac:dyDescent="0.2">
      <c r="A494" s="16"/>
      <c r="K494" s="16"/>
    </row>
    <row r="495" spans="1:11" ht="12.75" x14ac:dyDescent="0.2">
      <c r="A495" s="16"/>
      <c r="K495" s="16"/>
    </row>
    <row r="496" spans="1:11" ht="12.75" x14ac:dyDescent="0.2">
      <c r="A496" s="16"/>
      <c r="K496" s="16"/>
    </row>
    <row r="497" spans="1:11" ht="12.75" x14ac:dyDescent="0.2">
      <c r="A497" s="16"/>
      <c r="K497" s="16"/>
    </row>
    <row r="498" spans="1:11" ht="12.75" x14ac:dyDescent="0.2">
      <c r="A498" s="16"/>
      <c r="K498" s="16"/>
    </row>
    <row r="499" spans="1:11" ht="12.75" x14ac:dyDescent="0.2">
      <c r="A499" s="16"/>
      <c r="K499" s="16"/>
    </row>
    <row r="500" spans="1:11" ht="12.75" x14ac:dyDescent="0.2">
      <c r="A500" s="16"/>
      <c r="K500" s="16"/>
    </row>
    <row r="501" spans="1:11" ht="12.75" x14ac:dyDescent="0.2">
      <c r="A501" s="16"/>
      <c r="K501" s="16"/>
    </row>
    <row r="502" spans="1:11" ht="12.75" x14ac:dyDescent="0.2">
      <c r="A502" s="16"/>
      <c r="K502" s="16"/>
    </row>
    <row r="503" spans="1:11" ht="12.75" x14ac:dyDescent="0.2">
      <c r="A503" s="16"/>
      <c r="K503" s="16"/>
    </row>
    <row r="504" spans="1:11" ht="12.75" x14ac:dyDescent="0.2">
      <c r="A504" s="16"/>
      <c r="K504" s="16"/>
    </row>
    <row r="505" spans="1:11" ht="12.75" x14ac:dyDescent="0.2">
      <c r="A505" s="16"/>
      <c r="K505" s="16"/>
    </row>
    <row r="506" spans="1:11" ht="12.75" x14ac:dyDescent="0.2">
      <c r="A506" s="16"/>
      <c r="K506" s="16"/>
    </row>
    <row r="507" spans="1:11" ht="12.75" x14ac:dyDescent="0.2">
      <c r="A507" s="16"/>
      <c r="K507" s="16"/>
    </row>
    <row r="508" spans="1:11" ht="12.75" x14ac:dyDescent="0.2">
      <c r="A508" s="16"/>
      <c r="K508" s="16"/>
    </row>
    <row r="509" spans="1:11" ht="12.75" x14ac:dyDescent="0.2">
      <c r="A509" s="16"/>
      <c r="K509" s="16"/>
    </row>
    <row r="510" spans="1:11" ht="12.75" x14ac:dyDescent="0.2">
      <c r="A510" s="16"/>
      <c r="K510" s="16"/>
    </row>
    <row r="511" spans="1:11" ht="12.75" x14ac:dyDescent="0.2">
      <c r="A511" s="16"/>
      <c r="K511" s="16"/>
    </row>
    <row r="512" spans="1:11" ht="12.75" x14ac:dyDescent="0.2">
      <c r="A512" s="16"/>
      <c r="K512" s="16"/>
    </row>
    <row r="513" spans="1:11" ht="12.75" x14ac:dyDescent="0.2">
      <c r="A513" s="16"/>
      <c r="K513" s="16"/>
    </row>
    <row r="514" spans="1:11" ht="12.75" x14ac:dyDescent="0.2">
      <c r="A514" s="16"/>
      <c r="K514" s="16"/>
    </row>
    <row r="515" spans="1:11" ht="12.75" x14ac:dyDescent="0.2">
      <c r="A515" s="16"/>
      <c r="K515" s="16"/>
    </row>
    <row r="516" spans="1:11" ht="12.75" x14ac:dyDescent="0.2">
      <c r="A516" s="16"/>
      <c r="K516" s="16"/>
    </row>
    <row r="517" spans="1:11" ht="12.75" x14ac:dyDescent="0.2">
      <c r="A517" s="16"/>
      <c r="K517" s="16"/>
    </row>
    <row r="518" spans="1:11" ht="12.75" x14ac:dyDescent="0.2">
      <c r="A518" s="16"/>
      <c r="K518" s="16"/>
    </row>
    <row r="519" spans="1:11" ht="12.75" x14ac:dyDescent="0.2">
      <c r="A519" s="16"/>
      <c r="K519" s="16"/>
    </row>
    <row r="520" spans="1:11" ht="12.75" x14ac:dyDescent="0.2">
      <c r="A520" s="16"/>
      <c r="K520" s="16"/>
    </row>
    <row r="521" spans="1:11" ht="12.75" x14ac:dyDescent="0.2">
      <c r="A521" s="16"/>
      <c r="K521" s="16"/>
    </row>
    <row r="522" spans="1:11" ht="12.75" x14ac:dyDescent="0.2">
      <c r="A522" s="16"/>
      <c r="K522" s="16"/>
    </row>
    <row r="523" spans="1:11" ht="12.75" x14ac:dyDescent="0.2">
      <c r="A523" s="16"/>
      <c r="K523" s="16"/>
    </row>
    <row r="524" spans="1:11" ht="12.75" x14ac:dyDescent="0.2">
      <c r="A524" s="16"/>
      <c r="K524" s="16"/>
    </row>
    <row r="525" spans="1:11" ht="12.75" x14ac:dyDescent="0.2">
      <c r="A525" s="16"/>
      <c r="K525" s="16"/>
    </row>
    <row r="526" spans="1:11" ht="12.75" x14ac:dyDescent="0.2">
      <c r="A526" s="16"/>
      <c r="K526" s="16"/>
    </row>
    <row r="527" spans="1:11" ht="12.75" x14ac:dyDescent="0.2">
      <c r="A527" s="16"/>
      <c r="K527" s="16"/>
    </row>
    <row r="528" spans="1:11" ht="12.75" x14ac:dyDescent="0.2">
      <c r="A528" s="16"/>
      <c r="K528" s="16"/>
    </row>
    <row r="529" spans="1:11" ht="12.75" x14ac:dyDescent="0.2">
      <c r="A529" s="16"/>
      <c r="K529" s="16"/>
    </row>
    <row r="530" spans="1:11" ht="12.75" x14ac:dyDescent="0.2">
      <c r="A530" s="16"/>
      <c r="K530" s="16"/>
    </row>
    <row r="531" spans="1:11" ht="12.75" x14ac:dyDescent="0.2">
      <c r="A531" s="16"/>
      <c r="K531" s="16"/>
    </row>
    <row r="532" spans="1:11" ht="12.75" x14ac:dyDescent="0.2">
      <c r="A532" s="16"/>
      <c r="K532" s="16"/>
    </row>
    <row r="533" spans="1:11" ht="12.75" x14ac:dyDescent="0.2">
      <c r="A533" s="16"/>
      <c r="K533" s="16"/>
    </row>
    <row r="534" spans="1:11" ht="12.75" x14ac:dyDescent="0.2">
      <c r="A534" s="16"/>
      <c r="K534" s="16"/>
    </row>
    <row r="535" spans="1:11" ht="12.75" x14ac:dyDescent="0.2">
      <c r="A535" s="16"/>
      <c r="K535" s="16"/>
    </row>
    <row r="536" spans="1:11" ht="12.75" x14ac:dyDescent="0.2">
      <c r="A536" s="16"/>
      <c r="K536" s="16"/>
    </row>
    <row r="537" spans="1:11" ht="12.75" x14ac:dyDescent="0.2">
      <c r="A537" s="16"/>
      <c r="K537" s="16"/>
    </row>
    <row r="538" spans="1:11" ht="12.75" x14ac:dyDescent="0.2">
      <c r="A538" s="16"/>
      <c r="K538" s="16"/>
    </row>
    <row r="539" spans="1:11" ht="12.75" x14ac:dyDescent="0.2">
      <c r="A539" s="16"/>
      <c r="K539" s="16"/>
    </row>
    <row r="540" spans="1:11" ht="12.75" x14ac:dyDescent="0.2">
      <c r="A540" s="16"/>
      <c r="K540" s="16"/>
    </row>
    <row r="541" spans="1:11" ht="12.75" x14ac:dyDescent="0.2">
      <c r="A541" s="16"/>
      <c r="K541" s="16"/>
    </row>
    <row r="542" spans="1:11" ht="12.75" x14ac:dyDescent="0.2">
      <c r="A542" s="16"/>
      <c r="K542" s="16"/>
    </row>
    <row r="543" spans="1:11" ht="12.75" x14ac:dyDescent="0.2">
      <c r="A543" s="16"/>
      <c r="K543" s="16"/>
    </row>
    <row r="544" spans="1:11" ht="12.75" x14ac:dyDescent="0.2">
      <c r="A544" s="16"/>
      <c r="K544" s="16"/>
    </row>
    <row r="545" spans="1:11" ht="12.75" x14ac:dyDescent="0.2">
      <c r="A545" s="16"/>
      <c r="K545" s="16"/>
    </row>
    <row r="546" spans="1:11" ht="12.75" x14ac:dyDescent="0.2">
      <c r="A546" s="16"/>
      <c r="K546" s="16"/>
    </row>
    <row r="547" spans="1:11" ht="12.75" x14ac:dyDescent="0.2">
      <c r="A547" s="16"/>
      <c r="K547" s="16"/>
    </row>
    <row r="548" spans="1:11" ht="12.75" x14ac:dyDescent="0.2">
      <c r="A548" s="16"/>
      <c r="K548" s="16"/>
    </row>
    <row r="549" spans="1:11" ht="12.75" x14ac:dyDescent="0.2">
      <c r="A549" s="16"/>
      <c r="K549" s="16"/>
    </row>
    <row r="550" spans="1:11" ht="12.75" x14ac:dyDescent="0.2">
      <c r="A550" s="16"/>
      <c r="K550" s="16"/>
    </row>
    <row r="551" spans="1:11" ht="12.75" x14ac:dyDescent="0.2">
      <c r="A551" s="16"/>
      <c r="K551" s="16"/>
    </row>
    <row r="552" spans="1:11" ht="12.75" x14ac:dyDescent="0.2">
      <c r="A552" s="16"/>
      <c r="K552" s="16"/>
    </row>
    <row r="553" spans="1:11" ht="12.75" x14ac:dyDescent="0.2">
      <c r="A553" s="16"/>
      <c r="K553" s="16"/>
    </row>
    <row r="554" spans="1:11" ht="12.75" x14ac:dyDescent="0.2">
      <c r="A554" s="16"/>
      <c r="K554" s="16"/>
    </row>
    <row r="555" spans="1:11" ht="12.75" x14ac:dyDescent="0.2">
      <c r="A555" s="16"/>
      <c r="K555" s="16"/>
    </row>
    <row r="556" spans="1:11" ht="12.75" x14ac:dyDescent="0.2">
      <c r="A556" s="16"/>
      <c r="K556" s="16"/>
    </row>
    <row r="557" spans="1:11" ht="12.75" x14ac:dyDescent="0.2">
      <c r="A557" s="16"/>
      <c r="K557" s="16"/>
    </row>
    <row r="558" spans="1:11" ht="12.75" x14ac:dyDescent="0.2">
      <c r="A558" s="16"/>
      <c r="K558" s="16"/>
    </row>
    <row r="559" spans="1:11" ht="12.75" x14ac:dyDescent="0.2">
      <c r="A559" s="16"/>
      <c r="K559" s="16"/>
    </row>
    <row r="560" spans="1:11" ht="12.75" x14ac:dyDescent="0.2">
      <c r="A560" s="16"/>
      <c r="K560" s="16"/>
    </row>
    <row r="561" spans="1:11" ht="12.75" x14ac:dyDescent="0.2">
      <c r="A561" s="16"/>
      <c r="K561" s="16"/>
    </row>
    <row r="562" spans="1:11" ht="12.75" x14ac:dyDescent="0.2">
      <c r="A562" s="16"/>
      <c r="K562" s="16"/>
    </row>
    <row r="563" spans="1:11" ht="12.75" x14ac:dyDescent="0.2">
      <c r="A563" s="16"/>
      <c r="K563" s="16"/>
    </row>
    <row r="564" spans="1:11" ht="12.75" x14ac:dyDescent="0.2">
      <c r="A564" s="16"/>
      <c r="K564" s="16"/>
    </row>
    <row r="565" spans="1:11" ht="12.75" x14ac:dyDescent="0.2">
      <c r="A565" s="16"/>
      <c r="K565" s="16"/>
    </row>
    <row r="566" spans="1:11" ht="12.75" x14ac:dyDescent="0.2">
      <c r="A566" s="16"/>
      <c r="K566" s="16"/>
    </row>
    <row r="567" spans="1:11" ht="12.75" x14ac:dyDescent="0.2">
      <c r="A567" s="16"/>
      <c r="K567" s="16"/>
    </row>
    <row r="568" spans="1:11" ht="12.75" x14ac:dyDescent="0.2">
      <c r="A568" s="16"/>
      <c r="K568" s="16"/>
    </row>
    <row r="569" spans="1:11" ht="12.75" x14ac:dyDescent="0.2">
      <c r="A569" s="16"/>
      <c r="K569" s="16"/>
    </row>
    <row r="570" spans="1:11" ht="12.75" x14ac:dyDescent="0.2">
      <c r="A570" s="16"/>
      <c r="K570" s="16"/>
    </row>
    <row r="571" spans="1:11" ht="12.75" x14ac:dyDescent="0.2">
      <c r="A571" s="16"/>
      <c r="K571" s="16"/>
    </row>
    <row r="572" spans="1:11" ht="12.75" x14ac:dyDescent="0.2">
      <c r="A572" s="16"/>
      <c r="K572" s="16"/>
    </row>
    <row r="573" spans="1:11" ht="12.75" x14ac:dyDescent="0.2">
      <c r="A573" s="16"/>
      <c r="K573" s="16"/>
    </row>
    <row r="574" spans="1:11" ht="12.75" x14ac:dyDescent="0.2">
      <c r="A574" s="16"/>
      <c r="K574" s="16"/>
    </row>
    <row r="575" spans="1:11" ht="12.75" x14ac:dyDescent="0.2">
      <c r="A575" s="16"/>
      <c r="K575" s="16"/>
    </row>
    <row r="576" spans="1:11" ht="12.75" x14ac:dyDescent="0.2">
      <c r="A576" s="16"/>
      <c r="K576" s="16"/>
    </row>
    <row r="577" spans="1:11" ht="12.75" x14ac:dyDescent="0.2">
      <c r="A577" s="16"/>
      <c r="K577" s="16"/>
    </row>
    <row r="578" spans="1:11" ht="12.75" x14ac:dyDescent="0.2">
      <c r="A578" s="16"/>
      <c r="K578" s="16"/>
    </row>
    <row r="579" spans="1:11" ht="12.75" x14ac:dyDescent="0.2">
      <c r="A579" s="16"/>
      <c r="K579" s="16"/>
    </row>
    <row r="580" spans="1:11" ht="12.75" x14ac:dyDescent="0.2">
      <c r="A580" s="16"/>
      <c r="K580" s="16"/>
    </row>
    <row r="581" spans="1:11" ht="12.75" x14ac:dyDescent="0.2">
      <c r="A581" s="16"/>
      <c r="K581" s="16"/>
    </row>
    <row r="582" spans="1:11" ht="12.75" x14ac:dyDescent="0.2">
      <c r="A582" s="16"/>
      <c r="K582" s="16"/>
    </row>
    <row r="583" spans="1:11" ht="12.75" x14ac:dyDescent="0.2">
      <c r="A583" s="16"/>
      <c r="K583" s="16"/>
    </row>
    <row r="584" spans="1:11" ht="12.75" x14ac:dyDescent="0.2">
      <c r="A584" s="16"/>
      <c r="K584" s="16"/>
    </row>
    <row r="585" spans="1:11" ht="12.75" x14ac:dyDescent="0.2">
      <c r="A585" s="16"/>
      <c r="K585" s="16"/>
    </row>
    <row r="586" spans="1:11" ht="12.75" x14ac:dyDescent="0.2">
      <c r="A586" s="16"/>
      <c r="K586" s="16"/>
    </row>
    <row r="587" spans="1:11" ht="12.75" x14ac:dyDescent="0.2">
      <c r="A587" s="16"/>
      <c r="K587" s="16"/>
    </row>
    <row r="588" spans="1:11" ht="12.75" x14ac:dyDescent="0.2">
      <c r="A588" s="16"/>
      <c r="K588" s="16"/>
    </row>
    <row r="589" spans="1:11" ht="12.75" x14ac:dyDescent="0.2">
      <c r="A589" s="16"/>
      <c r="K589" s="16"/>
    </row>
    <row r="590" spans="1:11" ht="12.75" x14ac:dyDescent="0.2">
      <c r="A590" s="16"/>
      <c r="K590" s="16"/>
    </row>
    <row r="591" spans="1:11" ht="12.75" x14ac:dyDescent="0.2">
      <c r="A591" s="16"/>
      <c r="K591" s="16"/>
    </row>
    <row r="592" spans="1:11" ht="12.75" x14ac:dyDescent="0.2">
      <c r="A592" s="16"/>
      <c r="K592" s="16"/>
    </row>
    <row r="593" spans="1:11" ht="12.75" x14ac:dyDescent="0.2">
      <c r="A593" s="16"/>
      <c r="K593" s="16"/>
    </row>
    <row r="594" spans="1:11" ht="12.75" x14ac:dyDescent="0.2">
      <c r="A594" s="16"/>
      <c r="K594" s="16"/>
    </row>
    <row r="595" spans="1:11" ht="12.75" x14ac:dyDescent="0.2">
      <c r="A595" s="16"/>
      <c r="K595" s="16"/>
    </row>
    <row r="596" spans="1:11" ht="12.75" x14ac:dyDescent="0.2">
      <c r="A596" s="16"/>
      <c r="K596" s="16"/>
    </row>
    <row r="597" spans="1:11" ht="12.75" x14ac:dyDescent="0.2">
      <c r="A597" s="16"/>
      <c r="K597" s="16"/>
    </row>
    <row r="598" spans="1:11" ht="12.75" x14ac:dyDescent="0.2">
      <c r="A598" s="16"/>
      <c r="K598" s="16"/>
    </row>
    <row r="599" spans="1:11" ht="12.75" x14ac:dyDescent="0.2">
      <c r="A599" s="16"/>
      <c r="K599" s="16"/>
    </row>
    <row r="600" spans="1:11" ht="12.75" x14ac:dyDescent="0.2">
      <c r="A600" s="16"/>
      <c r="K600" s="16"/>
    </row>
    <row r="601" spans="1:11" ht="12.75" x14ac:dyDescent="0.2">
      <c r="A601" s="16"/>
      <c r="K601" s="16"/>
    </row>
    <row r="602" spans="1:11" ht="12.75" x14ac:dyDescent="0.2">
      <c r="A602" s="16"/>
      <c r="K602" s="16"/>
    </row>
    <row r="603" spans="1:11" ht="12.75" x14ac:dyDescent="0.2">
      <c r="A603" s="16"/>
      <c r="K603" s="16"/>
    </row>
    <row r="604" spans="1:11" ht="12.75" x14ac:dyDescent="0.2">
      <c r="A604" s="16"/>
      <c r="K604" s="16"/>
    </row>
    <row r="605" spans="1:11" ht="12.75" x14ac:dyDescent="0.2">
      <c r="A605" s="16"/>
      <c r="K605" s="16"/>
    </row>
    <row r="606" spans="1:11" ht="12.75" x14ac:dyDescent="0.2">
      <c r="A606" s="16"/>
      <c r="K606" s="16"/>
    </row>
    <row r="607" spans="1:11" ht="12.75" x14ac:dyDescent="0.2">
      <c r="A607" s="16"/>
      <c r="K607" s="16"/>
    </row>
    <row r="608" spans="1:11" ht="12.75" x14ac:dyDescent="0.2">
      <c r="A608" s="16"/>
      <c r="K608" s="16"/>
    </row>
    <row r="609" spans="1:11" ht="12.75" x14ac:dyDescent="0.2">
      <c r="A609" s="16"/>
      <c r="K609" s="16"/>
    </row>
    <row r="610" spans="1:11" ht="12.75" x14ac:dyDescent="0.2">
      <c r="A610" s="16"/>
      <c r="K610" s="16"/>
    </row>
    <row r="611" spans="1:11" ht="12.75" x14ac:dyDescent="0.2">
      <c r="A611" s="16"/>
      <c r="K611" s="16"/>
    </row>
    <row r="612" spans="1:11" ht="12.75" x14ac:dyDescent="0.2">
      <c r="A612" s="16"/>
      <c r="K612" s="16"/>
    </row>
    <row r="613" spans="1:11" ht="12.75" x14ac:dyDescent="0.2">
      <c r="A613" s="16"/>
      <c r="K613" s="16"/>
    </row>
    <row r="614" spans="1:11" ht="12.75" x14ac:dyDescent="0.2">
      <c r="A614" s="16"/>
      <c r="K614" s="16"/>
    </row>
    <row r="615" spans="1:11" ht="12.75" x14ac:dyDescent="0.2">
      <c r="A615" s="16"/>
      <c r="K615" s="16"/>
    </row>
    <row r="616" spans="1:11" ht="12.75" x14ac:dyDescent="0.2">
      <c r="A616" s="16"/>
      <c r="K616" s="16"/>
    </row>
    <row r="617" spans="1:11" ht="12.75" x14ac:dyDescent="0.2">
      <c r="A617" s="16"/>
      <c r="K617" s="16"/>
    </row>
    <row r="618" spans="1:11" ht="12.75" x14ac:dyDescent="0.2">
      <c r="A618" s="16"/>
      <c r="K618" s="16"/>
    </row>
    <row r="619" spans="1:11" ht="12.75" x14ac:dyDescent="0.2">
      <c r="A619" s="16"/>
      <c r="K619" s="16"/>
    </row>
    <row r="620" spans="1:11" ht="12.75" x14ac:dyDescent="0.2">
      <c r="A620" s="16"/>
      <c r="K620" s="16"/>
    </row>
    <row r="621" spans="1:11" ht="12.75" x14ac:dyDescent="0.2">
      <c r="A621" s="16"/>
      <c r="K621" s="16"/>
    </row>
    <row r="622" spans="1:11" ht="12.75" x14ac:dyDescent="0.2">
      <c r="A622" s="16"/>
      <c r="K622" s="16"/>
    </row>
    <row r="623" spans="1:11" ht="12.75" x14ac:dyDescent="0.2">
      <c r="A623" s="16"/>
      <c r="K623" s="16"/>
    </row>
    <row r="624" spans="1:11" ht="12.75" x14ac:dyDescent="0.2">
      <c r="A624" s="16"/>
      <c r="K624" s="16"/>
    </row>
    <row r="625" spans="1:11" ht="12.75" x14ac:dyDescent="0.2">
      <c r="A625" s="16"/>
      <c r="K625" s="16"/>
    </row>
    <row r="626" spans="1:11" ht="12.75" x14ac:dyDescent="0.2">
      <c r="A626" s="16"/>
      <c r="K626" s="16"/>
    </row>
    <row r="627" spans="1:11" ht="12.75" x14ac:dyDescent="0.2">
      <c r="A627" s="16"/>
      <c r="K627" s="16"/>
    </row>
    <row r="628" spans="1:11" ht="12.75" x14ac:dyDescent="0.2">
      <c r="A628" s="16"/>
      <c r="K628" s="16"/>
    </row>
    <row r="629" spans="1:11" ht="12.75" x14ac:dyDescent="0.2">
      <c r="A629" s="16"/>
      <c r="K629" s="16"/>
    </row>
    <row r="630" spans="1:11" ht="12.75" x14ac:dyDescent="0.2">
      <c r="A630" s="16"/>
      <c r="K630" s="16"/>
    </row>
    <row r="631" spans="1:11" ht="12.75" x14ac:dyDescent="0.2">
      <c r="A631" s="16"/>
      <c r="K631" s="16"/>
    </row>
    <row r="632" spans="1:11" ht="12.75" x14ac:dyDescent="0.2">
      <c r="A632" s="16"/>
      <c r="K632" s="16"/>
    </row>
    <row r="633" spans="1:11" ht="12.75" x14ac:dyDescent="0.2">
      <c r="A633" s="16"/>
      <c r="K633" s="16"/>
    </row>
    <row r="634" spans="1:11" ht="12.75" x14ac:dyDescent="0.2">
      <c r="A634" s="16"/>
      <c r="K634" s="16"/>
    </row>
    <row r="635" spans="1:11" ht="12.75" x14ac:dyDescent="0.2">
      <c r="A635" s="16"/>
      <c r="K635" s="16"/>
    </row>
    <row r="636" spans="1:11" ht="12.75" x14ac:dyDescent="0.2">
      <c r="A636" s="16"/>
      <c r="K636" s="16"/>
    </row>
    <row r="637" spans="1:11" ht="12.75" x14ac:dyDescent="0.2">
      <c r="A637" s="16"/>
      <c r="K637" s="16"/>
    </row>
    <row r="638" spans="1:11" ht="12.75" x14ac:dyDescent="0.2">
      <c r="A638" s="16"/>
      <c r="K638" s="16"/>
    </row>
    <row r="639" spans="1:11" ht="12.75" x14ac:dyDescent="0.2">
      <c r="A639" s="16"/>
      <c r="K639" s="16"/>
    </row>
    <row r="640" spans="1:11" ht="12.75" x14ac:dyDescent="0.2">
      <c r="A640" s="16"/>
      <c r="K640" s="16"/>
    </row>
    <row r="641" spans="1:11" ht="12.75" x14ac:dyDescent="0.2">
      <c r="A641" s="16"/>
      <c r="K641" s="16"/>
    </row>
    <row r="642" spans="1:11" ht="12.75" x14ac:dyDescent="0.2">
      <c r="A642" s="16"/>
      <c r="K642" s="16"/>
    </row>
    <row r="643" spans="1:11" ht="12.75" x14ac:dyDescent="0.2">
      <c r="A643" s="16"/>
      <c r="K643" s="16"/>
    </row>
    <row r="644" spans="1:11" ht="12.75" x14ac:dyDescent="0.2">
      <c r="A644" s="16"/>
      <c r="K644" s="16"/>
    </row>
    <row r="645" spans="1:11" ht="12.75" x14ac:dyDescent="0.2">
      <c r="A645" s="16"/>
      <c r="K645" s="16"/>
    </row>
    <row r="646" spans="1:11" ht="12.75" x14ac:dyDescent="0.2">
      <c r="A646" s="16"/>
      <c r="K646" s="16"/>
    </row>
    <row r="647" spans="1:11" ht="12.75" x14ac:dyDescent="0.2">
      <c r="A647" s="16"/>
      <c r="K647" s="16"/>
    </row>
    <row r="648" spans="1:11" ht="12.75" x14ac:dyDescent="0.2">
      <c r="A648" s="16"/>
      <c r="K648" s="16"/>
    </row>
    <row r="649" spans="1:11" ht="12.75" x14ac:dyDescent="0.2">
      <c r="A649" s="16"/>
      <c r="K649" s="16"/>
    </row>
    <row r="650" spans="1:11" ht="12.75" x14ac:dyDescent="0.2">
      <c r="A650" s="16"/>
      <c r="K650" s="16"/>
    </row>
    <row r="651" spans="1:11" ht="12.75" x14ac:dyDescent="0.2">
      <c r="A651" s="16"/>
      <c r="K651" s="16"/>
    </row>
    <row r="652" spans="1:11" ht="12.75" x14ac:dyDescent="0.2">
      <c r="A652" s="16"/>
      <c r="K652" s="16"/>
    </row>
    <row r="653" spans="1:11" ht="12.75" x14ac:dyDescent="0.2">
      <c r="A653" s="16"/>
      <c r="K653" s="16"/>
    </row>
    <row r="654" spans="1:11" ht="12.75" x14ac:dyDescent="0.2">
      <c r="A654" s="16"/>
      <c r="K654" s="16"/>
    </row>
    <row r="655" spans="1:11" ht="12.75" x14ac:dyDescent="0.2">
      <c r="A655" s="16"/>
      <c r="K655" s="16"/>
    </row>
    <row r="656" spans="1:11" ht="12.75" x14ac:dyDescent="0.2">
      <c r="A656" s="16"/>
      <c r="K656" s="16"/>
    </row>
    <row r="657" spans="1:11" ht="12.75" x14ac:dyDescent="0.2">
      <c r="A657" s="16"/>
      <c r="K657" s="16"/>
    </row>
    <row r="658" spans="1:11" ht="12.75" x14ac:dyDescent="0.2">
      <c r="A658" s="16"/>
      <c r="K658" s="16"/>
    </row>
    <row r="659" spans="1:11" ht="12.75" x14ac:dyDescent="0.2">
      <c r="A659" s="16"/>
      <c r="K659" s="16"/>
    </row>
    <row r="660" spans="1:11" ht="12.75" x14ac:dyDescent="0.2">
      <c r="A660" s="16"/>
      <c r="K660" s="16"/>
    </row>
    <row r="661" spans="1:11" ht="12.75" x14ac:dyDescent="0.2">
      <c r="A661" s="16"/>
      <c r="K661" s="16"/>
    </row>
    <row r="662" spans="1:11" ht="12.75" x14ac:dyDescent="0.2">
      <c r="A662" s="16"/>
      <c r="K662" s="16"/>
    </row>
    <row r="663" spans="1:11" ht="12.75" x14ac:dyDescent="0.2">
      <c r="A663" s="16"/>
      <c r="K663" s="16"/>
    </row>
    <row r="664" spans="1:11" ht="12.75" x14ac:dyDescent="0.2">
      <c r="A664" s="16"/>
      <c r="K664" s="16"/>
    </row>
    <row r="665" spans="1:11" ht="12.75" x14ac:dyDescent="0.2">
      <c r="A665" s="16"/>
      <c r="K665" s="16"/>
    </row>
    <row r="666" spans="1:11" ht="12.75" x14ac:dyDescent="0.2">
      <c r="A666" s="16"/>
      <c r="K666" s="16"/>
    </row>
    <row r="667" spans="1:11" ht="12.75" x14ac:dyDescent="0.2">
      <c r="A667" s="16"/>
      <c r="K667" s="16"/>
    </row>
    <row r="668" spans="1:11" ht="12.75" x14ac:dyDescent="0.2">
      <c r="A668" s="16"/>
      <c r="K668" s="16"/>
    </row>
    <row r="669" spans="1:11" ht="12.75" x14ac:dyDescent="0.2">
      <c r="A669" s="16"/>
      <c r="K669" s="16"/>
    </row>
    <row r="670" spans="1:11" ht="12.75" x14ac:dyDescent="0.2">
      <c r="A670" s="16"/>
      <c r="K670" s="16"/>
    </row>
    <row r="671" spans="1:11" ht="12.75" x14ac:dyDescent="0.2">
      <c r="A671" s="16"/>
      <c r="K671" s="16"/>
    </row>
    <row r="672" spans="1:11" ht="12.75" x14ac:dyDescent="0.2">
      <c r="A672" s="16"/>
      <c r="K672" s="16"/>
    </row>
    <row r="673" spans="1:11" ht="12.75" x14ac:dyDescent="0.2">
      <c r="A673" s="16"/>
      <c r="K673" s="16"/>
    </row>
    <row r="674" spans="1:11" ht="12.75" x14ac:dyDescent="0.2">
      <c r="A674" s="16"/>
      <c r="K674" s="16"/>
    </row>
    <row r="675" spans="1:11" ht="12.75" x14ac:dyDescent="0.2">
      <c r="A675" s="16"/>
      <c r="K675" s="16"/>
    </row>
    <row r="676" spans="1:11" ht="12.75" x14ac:dyDescent="0.2">
      <c r="A676" s="16"/>
      <c r="K676" s="16"/>
    </row>
    <row r="677" spans="1:11" ht="12.75" x14ac:dyDescent="0.2">
      <c r="A677" s="16"/>
      <c r="K677" s="16"/>
    </row>
    <row r="678" spans="1:11" ht="12.75" x14ac:dyDescent="0.2">
      <c r="A678" s="16"/>
      <c r="K678" s="16"/>
    </row>
    <row r="679" spans="1:11" ht="12.75" x14ac:dyDescent="0.2">
      <c r="A679" s="16"/>
      <c r="K679" s="16"/>
    </row>
    <row r="680" spans="1:11" ht="12.75" x14ac:dyDescent="0.2">
      <c r="A680" s="16"/>
      <c r="K680" s="16"/>
    </row>
    <row r="681" spans="1:11" ht="12.75" x14ac:dyDescent="0.2">
      <c r="A681" s="16"/>
      <c r="K681" s="16"/>
    </row>
    <row r="682" spans="1:11" ht="12.75" x14ac:dyDescent="0.2">
      <c r="A682" s="16"/>
      <c r="K682" s="16"/>
    </row>
    <row r="683" spans="1:11" ht="12.75" x14ac:dyDescent="0.2">
      <c r="A683" s="16"/>
      <c r="K683" s="16"/>
    </row>
    <row r="684" spans="1:11" ht="12.75" x14ac:dyDescent="0.2">
      <c r="A684" s="16"/>
      <c r="K684" s="16"/>
    </row>
    <row r="685" spans="1:11" ht="12.75" x14ac:dyDescent="0.2">
      <c r="A685" s="16"/>
      <c r="K685" s="16"/>
    </row>
    <row r="686" spans="1:11" ht="12.75" x14ac:dyDescent="0.2">
      <c r="A686" s="16"/>
      <c r="K686" s="16"/>
    </row>
    <row r="687" spans="1:11" ht="12.75" x14ac:dyDescent="0.2">
      <c r="A687" s="16"/>
      <c r="K687" s="16"/>
    </row>
    <row r="688" spans="1:11" ht="12.75" x14ac:dyDescent="0.2">
      <c r="A688" s="16"/>
      <c r="K688" s="16"/>
    </row>
    <row r="689" spans="1:11" ht="12.75" x14ac:dyDescent="0.2">
      <c r="A689" s="16"/>
      <c r="K689" s="16"/>
    </row>
    <row r="690" spans="1:11" ht="12.75" x14ac:dyDescent="0.2">
      <c r="A690" s="16"/>
      <c r="K690" s="16"/>
    </row>
    <row r="691" spans="1:11" ht="12.75" x14ac:dyDescent="0.2">
      <c r="A691" s="16"/>
      <c r="K691" s="16"/>
    </row>
    <row r="692" spans="1:11" ht="12.75" x14ac:dyDescent="0.2">
      <c r="A692" s="16"/>
      <c r="K692" s="16"/>
    </row>
    <row r="693" spans="1:11" ht="12.75" x14ac:dyDescent="0.2">
      <c r="A693" s="16"/>
      <c r="K693" s="16"/>
    </row>
    <row r="694" spans="1:11" ht="12.75" x14ac:dyDescent="0.2">
      <c r="A694" s="16"/>
      <c r="K694" s="16"/>
    </row>
    <row r="695" spans="1:11" ht="12.75" x14ac:dyDescent="0.2">
      <c r="A695" s="16"/>
      <c r="K695" s="16"/>
    </row>
    <row r="696" spans="1:11" ht="12.75" x14ac:dyDescent="0.2">
      <c r="A696" s="16"/>
      <c r="K696" s="16"/>
    </row>
    <row r="697" spans="1:11" ht="12.75" x14ac:dyDescent="0.2">
      <c r="A697" s="16"/>
      <c r="K697" s="16"/>
    </row>
    <row r="698" spans="1:11" ht="12.75" x14ac:dyDescent="0.2">
      <c r="A698" s="16"/>
      <c r="K698" s="16"/>
    </row>
    <row r="699" spans="1:11" ht="12.75" x14ac:dyDescent="0.2">
      <c r="A699" s="16"/>
      <c r="K699" s="16"/>
    </row>
    <row r="700" spans="1:11" ht="12.75" x14ac:dyDescent="0.2">
      <c r="A700" s="16"/>
      <c r="K700" s="16"/>
    </row>
    <row r="701" spans="1:11" ht="12.75" x14ac:dyDescent="0.2">
      <c r="A701" s="16"/>
      <c r="K701" s="16"/>
    </row>
    <row r="702" spans="1:11" ht="12.75" x14ac:dyDescent="0.2">
      <c r="A702" s="16"/>
      <c r="K702" s="16"/>
    </row>
    <row r="703" spans="1:11" ht="12.75" x14ac:dyDescent="0.2">
      <c r="A703" s="16"/>
      <c r="K703" s="16"/>
    </row>
    <row r="704" spans="1:11" ht="12.75" x14ac:dyDescent="0.2">
      <c r="A704" s="16"/>
      <c r="K704" s="16"/>
    </row>
    <row r="705" spans="1:11" ht="12.75" x14ac:dyDescent="0.2">
      <c r="A705" s="16"/>
      <c r="K705" s="16"/>
    </row>
    <row r="706" spans="1:11" ht="12.75" x14ac:dyDescent="0.2">
      <c r="A706" s="16"/>
      <c r="K706" s="16"/>
    </row>
    <row r="707" spans="1:11" ht="12.75" x14ac:dyDescent="0.2">
      <c r="A707" s="16"/>
      <c r="K707" s="16"/>
    </row>
    <row r="708" spans="1:11" ht="12.75" x14ac:dyDescent="0.2">
      <c r="A708" s="16"/>
      <c r="K708" s="16"/>
    </row>
    <row r="709" spans="1:11" ht="12.75" x14ac:dyDescent="0.2">
      <c r="A709" s="16"/>
      <c r="K709" s="16"/>
    </row>
    <row r="710" spans="1:11" ht="12.75" x14ac:dyDescent="0.2">
      <c r="A710" s="16"/>
      <c r="K710" s="16"/>
    </row>
    <row r="711" spans="1:11" ht="12.75" x14ac:dyDescent="0.2">
      <c r="A711" s="16"/>
      <c r="K711" s="16"/>
    </row>
    <row r="712" spans="1:11" ht="12.75" x14ac:dyDescent="0.2">
      <c r="A712" s="16"/>
      <c r="K712" s="16"/>
    </row>
    <row r="713" spans="1:11" ht="12.75" x14ac:dyDescent="0.2">
      <c r="A713" s="16"/>
      <c r="K713" s="16"/>
    </row>
    <row r="714" spans="1:11" ht="12.75" x14ac:dyDescent="0.2">
      <c r="A714" s="16"/>
      <c r="K714" s="16"/>
    </row>
    <row r="715" spans="1:11" ht="12.75" x14ac:dyDescent="0.2">
      <c r="A715" s="16"/>
      <c r="K715" s="16"/>
    </row>
    <row r="716" spans="1:11" ht="12.75" x14ac:dyDescent="0.2">
      <c r="A716" s="16"/>
      <c r="K716" s="16"/>
    </row>
    <row r="717" spans="1:11" ht="12.75" x14ac:dyDescent="0.2">
      <c r="A717" s="16"/>
      <c r="K717" s="16"/>
    </row>
    <row r="718" spans="1:11" ht="12.75" x14ac:dyDescent="0.2">
      <c r="A718" s="16"/>
      <c r="K718" s="16"/>
    </row>
    <row r="719" spans="1:11" ht="12.75" x14ac:dyDescent="0.2">
      <c r="A719" s="16"/>
      <c r="K719" s="16"/>
    </row>
    <row r="720" spans="1:11" ht="12.75" x14ac:dyDescent="0.2">
      <c r="A720" s="16"/>
      <c r="K720" s="16"/>
    </row>
    <row r="721" spans="1:11" ht="12.75" x14ac:dyDescent="0.2">
      <c r="A721" s="16"/>
      <c r="K721" s="16"/>
    </row>
    <row r="722" spans="1:11" ht="12.75" x14ac:dyDescent="0.2">
      <c r="A722" s="16"/>
      <c r="K722" s="16"/>
    </row>
    <row r="723" spans="1:11" ht="12.75" x14ac:dyDescent="0.2">
      <c r="A723" s="16"/>
      <c r="K723" s="16"/>
    </row>
    <row r="724" spans="1:11" ht="12.75" x14ac:dyDescent="0.2">
      <c r="A724" s="16"/>
      <c r="K724" s="16"/>
    </row>
    <row r="725" spans="1:11" ht="12.75" x14ac:dyDescent="0.2">
      <c r="A725" s="16"/>
      <c r="K725" s="16"/>
    </row>
    <row r="726" spans="1:11" ht="12.75" x14ac:dyDescent="0.2">
      <c r="A726" s="16"/>
      <c r="K726" s="16"/>
    </row>
    <row r="727" spans="1:11" ht="12.75" x14ac:dyDescent="0.2">
      <c r="A727" s="16"/>
      <c r="K727" s="16"/>
    </row>
    <row r="728" spans="1:11" ht="12.75" x14ac:dyDescent="0.2">
      <c r="A728" s="16"/>
      <c r="K728" s="16"/>
    </row>
    <row r="729" spans="1:11" ht="12.75" x14ac:dyDescent="0.2">
      <c r="A729" s="16"/>
      <c r="K729" s="16"/>
    </row>
    <row r="730" spans="1:11" ht="12.75" x14ac:dyDescent="0.2">
      <c r="A730" s="16"/>
      <c r="K730" s="16"/>
    </row>
    <row r="731" spans="1:11" ht="12.75" x14ac:dyDescent="0.2">
      <c r="A731" s="16"/>
      <c r="K731" s="16"/>
    </row>
    <row r="732" spans="1:11" ht="12.75" x14ac:dyDescent="0.2">
      <c r="A732" s="16"/>
      <c r="K732" s="16"/>
    </row>
    <row r="733" spans="1:11" ht="12.75" x14ac:dyDescent="0.2">
      <c r="A733" s="16"/>
      <c r="K733" s="16"/>
    </row>
    <row r="734" spans="1:11" ht="12.75" x14ac:dyDescent="0.2">
      <c r="A734" s="16"/>
      <c r="K734" s="16"/>
    </row>
    <row r="735" spans="1:11" ht="12.75" x14ac:dyDescent="0.2">
      <c r="A735" s="16"/>
      <c r="K735" s="16"/>
    </row>
    <row r="736" spans="1:11" ht="12.75" x14ac:dyDescent="0.2">
      <c r="A736" s="16"/>
      <c r="K736" s="16"/>
    </row>
    <row r="737" spans="1:11" ht="12.75" x14ac:dyDescent="0.2">
      <c r="A737" s="16"/>
      <c r="K737" s="16"/>
    </row>
    <row r="738" spans="1:11" ht="12.75" x14ac:dyDescent="0.2">
      <c r="A738" s="16"/>
      <c r="K738" s="16"/>
    </row>
    <row r="739" spans="1:11" ht="12.75" x14ac:dyDescent="0.2">
      <c r="A739" s="16"/>
      <c r="K739" s="16"/>
    </row>
    <row r="740" spans="1:11" ht="12.75" x14ac:dyDescent="0.2">
      <c r="A740" s="16"/>
      <c r="K740" s="16"/>
    </row>
    <row r="741" spans="1:11" ht="12.75" x14ac:dyDescent="0.2">
      <c r="A741" s="16"/>
      <c r="K741" s="16"/>
    </row>
    <row r="742" spans="1:11" ht="12.75" x14ac:dyDescent="0.2">
      <c r="A742" s="16"/>
      <c r="K742" s="16"/>
    </row>
    <row r="743" spans="1:11" ht="12.75" x14ac:dyDescent="0.2">
      <c r="A743" s="16"/>
      <c r="K743" s="16"/>
    </row>
    <row r="744" spans="1:11" ht="12.75" x14ac:dyDescent="0.2">
      <c r="A744" s="16"/>
      <c r="K744" s="16"/>
    </row>
    <row r="745" spans="1:11" ht="12.75" x14ac:dyDescent="0.2">
      <c r="A745" s="16"/>
      <c r="K745" s="16"/>
    </row>
    <row r="746" spans="1:11" ht="12.75" x14ac:dyDescent="0.2">
      <c r="A746" s="16"/>
      <c r="K746" s="16"/>
    </row>
    <row r="747" spans="1:11" ht="12.75" x14ac:dyDescent="0.2">
      <c r="A747" s="16"/>
      <c r="K747" s="16"/>
    </row>
    <row r="748" spans="1:11" ht="12.75" x14ac:dyDescent="0.2">
      <c r="A748" s="16"/>
      <c r="K748" s="16"/>
    </row>
    <row r="749" spans="1:11" ht="12.75" x14ac:dyDescent="0.2">
      <c r="A749" s="16"/>
      <c r="K749" s="16"/>
    </row>
    <row r="750" spans="1:11" ht="12.75" x14ac:dyDescent="0.2">
      <c r="A750" s="16"/>
      <c r="K750" s="16"/>
    </row>
    <row r="751" spans="1:11" ht="12.75" x14ac:dyDescent="0.2">
      <c r="A751" s="16"/>
      <c r="K751" s="16"/>
    </row>
    <row r="752" spans="1:11" ht="12.75" x14ac:dyDescent="0.2">
      <c r="A752" s="16"/>
      <c r="K752" s="16"/>
    </row>
    <row r="753" spans="1:11" ht="12.75" x14ac:dyDescent="0.2">
      <c r="A753" s="16"/>
      <c r="K753" s="16"/>
    </row>
    <row r="754" spans="1:11" ht="12.75" x14ac:dyDescent="0.2">
      <c r="A754" s="16"/>
      <c r="K754" s="16"/>
    </row>
    <row r="755" spans="1:11" ht="12.75" x14ac:dyDescent="0.2">
      <c r="A755" s="16"/>
      <c r="K755" s="16"/>
    </row>
    <row r="756" spans="1:11" ht="12.75" x14ac:dyDescent="0.2">
      <c r="A756" s="16"/>
      <c r="K756" s="16"/>
    </row>
    <row r="757" spans="1:11" ht="12.75" x14ac:dyDescent="0.2">
      <c r="A757" s="16"/>
      <c r="K757" s="16"/>
    </row>
    <row r="758" spans="1:11" ht="12.75" x14ac:dyDescent="0.2">
      <c r="A758" s="16"/>
      <c r="K758" s="16"/>
    </row>
    <row r="759" spans="1:11" ht="12.75" x14ac:dyDescent="0.2">
      <c r="A759" s="16"/>
      <c r="K759" s="16"/>
    </row>
    <row r="760" spans="1:11" ht="12.75" x14ac:dyDescent="0.2">
      <c r="A760" s="16"/>
      <c r="K760" s="16"/>
    </row>
    <row r="761" spans="1:11" ht="12.75" x14ac:dyDescent="0.2">
      <c r="A761" s="16"/>
      <c r="K761" s="16"/>
    </row>
    <row r="762" spans="1:11" ht="12.75" x14ac:dyDescent="0.2">
      <c r="A762" s="16"/>
      <c r="K762" s="16"/>
    </row>
    <row r="763" spans="1:11" ht="12.75" x14ac:dyDescent="0.2">
      <c r="A763" s="16"/>
      <c r="K763" s="16"/>
    </row>
    <row r="764" spans="1:11" ht="12.75" x14ac:dyDescent="0.2">
      <c r="A764" s="16"/>
      <c r="K764" s="16"/>
    </row>
    <row r="765" spans="1:11" ht="12.75" x14ac:dyDescent="0.2">
      <c r="A765" s="16"/>
      <c r="K765" s="16"/>
    </row>
    <row r="766" spans="1:11" ht="12.75" x14ac:dyDescent="0.2">
      <c r="A766" s="16"/>
      <c r="K766" s="16"/>
    </row>
    <row r="767" spans="1:11" ht="12.75" x14ac:dyDescent="0.2">
      <c r="A767" s="16"/>
      <c r="K767" s="16"/>
    </row>
    <row r="768" spans="1:11" ht="12.75" x14ac:dyDescent="0.2">
      <c r="A768" s="16"/>
      <c r="K768" s="16"/>
    </row>
    <row r="769" spans="1:11" ht="12.75" x14ac:dyDescent="0.2">
      <c r="A769" s="16"/>
      <c r="K769" s="16"/>
    </row>
    <row r="770" spans="1:11" ht="12.75" x14ac:dyDescent="0.2">
      <c r="A770" s="16"/>
      <c r="K770" s="16"/>
    </row>
    <row r="771" spans="1:11" ht="12.75" x14ac:dyDescent="0.2">
      <c r="A771" s="16"/>
      <c r="K771" s="16"/>
    </row>
    <row r="772" spans="1:11" ht="12.75" x14ac:dyDescent="0.2">
      <c r="A772" s="16"/>
      <c r="K772" s="16"/>
    </row>
    <row r="773" spans="1:11" ht="12.75" x14ac:dyDescent="0.2">
      <c r="A773" s="16"/>
      <c r="K773" s="16"/>
    </row>
    <row r="774" spans="1:11" ht="12.75" x14ac:dyDescent="0.2">
      <c r="A774" s="16"/>
      <c r="K774" s="16"/>
    </row>
    <row r="775" spans="1:11" ht="12.75" x14ac:dyDescent="0.2">
      <c r="A775" s="16"/>
      <c r="K775" s="16"/>
    </row>
    <row r="776" spans="1:11" ht="12.75" x14ac:dyDescent="0.2">
      <c r="A776" s="16"/>
      <c r="K776" s="16"/>
    </row>
    <row r="777" spans="1:11" ht="12.75" x14ac:dyDescent="0.2">
      <c r="A777" s="16"/>
      <c r="K777" s="16"/>
    </row>
    <row r="778" spans="1:11" ht="12.75" x14ac:dyDescent="0.2">
      <c r="A778" s="16"/>
      <c r="K778" s="16"/>
    </row>
    <row r="779" spans="1:11" ht="12.75" x14ac:dyDescent="0.2">
      <c r="A779" s="16"/>
      <c r="K779" s="16"/>
    </row>
    <row r="780" spans="1:11" ht="12.75" x14ac:dyDescent="0.2">
      <c r="A780" s="16"/>
      <c r="K780" s="16"/>
    </row>
    <row r="781" spans="1:11" ht="12.75" x14ac:dyDescent="0.2">
      <c r="A781" s="16"/>
      <c r="K781" s="16"/>
    </row>
    <row r="782" spans="1:11" ht="12.75" x14ac:dyDescent="0.2">
      <c r="A782" s="16"/>
      <c r="K782" s="16"/>
    </row>
    <row r="783" spans="1:11" ht="12.75" x14ac:dyDescent="0.2">
      <c r="A783" s="16"/>
      <c r="K783" s="16"/>
    </row>
    <row r="784" spans="1:11" ht="12.75" x14ac:dyDescent="0.2">
      <c r="A784" s="16"/>
      <c r="K784" s="16"/>
    </row>
    <row r="785" spans="1:11" ht="12.75" x14ac:dyDescent="0.2">
      <c r="A785" s="16"/>
      <c r="K785" s="16"/>
    </row>
    <row r="786" spans="1:11" ht="12.75" x14ac:dyDescent="0.2">
      <c r="A786" s="16"/>
      <c r="K786" s="16"/>
    </row>
    <row r="787" spans="1:11" ht="12.75" x14ac:dyDescent="0.2">
      <c r="A787" s="16"/>
      <c r="K787" s="16"/>
    </row>
    <row r="788" spans="1:11" ht="12.75" x14ac:dyDescent="0.2">
      <c r="A788" s="16"/>
      <c r="K788" s="16"/>
    </row>
    <row r="789" spans="1:11" ht="12.75" x14ac:dyDescent="0.2">
      <c r="A789" s="16"/>
      <c r="K789" s="16"/>
    </row>
    <row r="790" spans="1:11" ht="12.75" x14ac:dyDescent="0.2">
      <c r="A790" s="16"/>
      <c r="K790" s="16"/>
    </row>
    <row r="791" spans="1:11" ht="12.75" x14ac:dyDescent="0.2">
      <c r="A791" s="16"/>
      <c r="K791" s="16"/>
    </row>
    <row r="792" spans="1:11" ht="12.75" x14ac:dyDescent="0.2">
      <c r="A792" s="16"/>
      <c r="K792" s="16"/>
    </row>
    <row r="793" spans="1:11" ht="12.75" x14ac:dyDescent="0.2">
      <c r="A793" s="16"/>
      <c r="K793" s="16"/>
    </row>
    <row r="794" spans="1:11" ht="12.75" x14ac:dyDescent="0.2">
      <c r="A794" s="16"/>
      <c r="K794" s="16"/>
    </row>
    <row r="795" spans="1:11" ht="12.75" x14ac:dyDescent="0.2">
      <c r="A795" s="16"/>
      <c r="K795" s="16"/>
    </row>
    <row r="796" spans="1:11" ht="12.75" x14ac:dyDescent="0.2">
      <c r="A796" s="16"/>
      <c r="K796" s="16"/>
    </row>
    <row r="797" spans="1:11" ht="12.75" x14ac:dyDescent="0.2">
      <c r="A797" s="16"/>
      <c r="K797" s="16"/>
    </row>
    <row r="798" spans="1:11" ht="12.75" x14ac:dyDescent="0.2">
      <c r="A798" s="16"/>
      <c r="K798" s="16"/>
    </row>
    <row r="799" spans="1:11" ht="12.75" x14ac:dyDescent="0.2">
      <c r="A799" s="16"/>
      <c r="K799" s="16"/>
    </row>
    <row r="800" spans="1:11" ht="12.75" x14ac:dyDescent="0.2">
      <c r="A800" s="16"/>
      <c r="K800" s="16"/>
    </row>
    <row r="801" spans="1:11" ht="12.75" x14ac:dyDescent="0.2">
      <c r="A801" s="16"/>
      <c r="K801" s="16"/>
    </row>
    <row r="802" spans="1:11" ht="12.75" x14ac:dyDescent="0.2">
      <c r="A802" s="16"/>
      <c r="K802" s="16"/>
    </row>
    <row r="803" spans="1:11" ht="12.75" x14ac:dyDescent="0.2">
      <c r="A803" s="16"/>
      <c r="K803" s="16"/>
    </row>
    <row r="804" spans="1:11" ht="12.75" x14ac:dyDescent="0.2">
      <c r="A804" s="16"/>
      <c r="K804" s="16"/>
    </row>
    <row r="805" spans="1:11" ht="12.75" x14ac:dyDescent="0.2">
      <c r="A805" s="16"/>
      <c r="K805" s="16"/>
    </row>
    <row r="806" spans="1:11" ht="12.75" x14ac:dyDescent="0.2">
      <c r="A806" s="16"/>
      <c r="K806" s="16"/>
    </row>
    <row r="807" spans="1:11" ht="12.75" x14ac:dyDescent="0.2">
      <c r="A807" s="16"/>
      <c r="K807" s="16"/>
    </row>
    <row r="808" spans="1:11" ht="12.75" x14ac:dyDescent="0.2">
      <c r="A808" s="16"/>
      <c r="K808" s="16"/>
    </row>
    <row r="809" spans="1:11" ht="12.75" x14ac:dyDescent="0.2">
      <c r="A809" s="16"/>
      <c r="K809" s="16"/>
    </row>
    <row r="810" spans="1:11" ht="12.75" x14ac:dyDescent="0.2">
      <c r="A810" s="16"/>
      <c r="K810" s="16"/>
    </row>
    <row r="811" spans="1:11" ht="12.75" x14ac:dyDescent="0.2">
      <c r="A811" s="16"/>
      <c r="K811" s="16"/>
    </row>
    <row r="812" spans="1:11" ht="12.75" x14ac:dyDescent="0.2">
      <c r="A812" s="16"/>
      <c r="K812" s="16"/>
    </row>
    <row r="813" spans="1:11" ht="12.75" x14ac:dyDescent="0.2">
      <c r="A813" s="16"/>
      <c r="K813" s="16"/>
    </row>
    <row r="814" spans="1:11" ht="12.75" x14ac:dyDescent="0.2">
      <c r="A814" s="16"/>
      <c r="K814" s="16"/>
    </row>
    <row r="815" spans="1:11" ht="12.75" x14ac:dyDescent="0.2">
      <c r="A815" s="16"/>
      <c r="K815" s="16"/>
    </row>
    <row r="816" spans="1:11" ht="12.75" x14ac:dyDescent="0.2">
      <c r="A816" s="16"/>
      <c r="K816" s="16"/>
    </row>
    <row r="817" spans="1:11" ht="12.75" x14ac:dyDescent="0.2">
      <c r="A817" s="16"/>
      <c r="K817" s="16"/>
    </row>
    <row r="818" spans="1:11" ht="12.75" x14ac:dyDescent="0.2">
      <c r="A818" s="16"/>
      <c r="K818" s="16"/>
    </row>
    <row r="819" spans="1:11" ht="12.75" x14ac:dyDescent="0.2">
      <c r="A819" s="16"/>
      <c r="K819" s="16"/>
    </row>
    <row r="820" spans="1:11" ht="12.75" x14ac:dyDescent="0.2">
      <c r="A820" s="16"/>
      <c r="K820" s="16"/>
    </row>
    <row r="821" spans="1:11" ht="12.75" x14ac:dyDescent="0.2">
      <c r="A821" s="16"/>
      <c r="K821" s="16"/>
    </row>
    <row r="822" spans="1:11" ht="12.75" x14ac:dyDescent="0.2">
      <c r="A822" s="16"/>
      <c r="K822" s="16"/>
    </row>
    <row r="823" spans="1:11" ht="12.75" x14ac:dyDescent="0.2">
      <c r="A823" s="16"/>
      <c r="K823" s="16"/>
    </row>
    <row r="824" spans="1:11" ht="12.75" x14ac:dyDescent="0.2">
      <c r="A824" s="16"/>
      <c r="K824" s="16"/>
    </row>
    <row r="825" spans="1:11" ht="12.75" x14ac:dyDescent="0.2">
      <c r="A825" s="16"/>
      <c r="K825" s="16"/>
    </row>
    <row r="826" spans="1:11" ht="12.75" x14ac:dyDescent="0.2">
      <c r="A826" s="16"/>
      <c r="K826" s="16"/>
    </row>
    <row r="827" spans="1:11" ht="12.75" x14ac:dyDescent="0.2">
      <c r="A827" s="16"/>
      <c r="K827" s="16"/>
    </row>
    <row r="828" spans="1:11" ht="12.75" x14ac:dyDescent="0.2">
      <c r="A828" s="16"/>
      <c r="K828" s="16"/>
    </row>
    <row r="829" spans="1:11" ht="12.75" x14ac:dyDescent="0.2">
      <c r="A829" s="16"/>
      <c r="K829" s="16"/>
    </row>
    <row r="830" spans="1:11" ht="12.75" x14ac:dyDescent="0.2">
      <c r="A830" s="16"/>
      <c r="K830" s="16"/>
    </row>
    <row r="831" spans="1:11" ht="12.75" x14ac:dyDescent="0.2">
      <c r="A831" s="16"/>
      <c r="K831" s="16"/>
    </row>
    <row r="832" spans="1:11" ht="12.75" x14ac:dyDescent="0.2">
      <c r="A832" s="16"/>
      <c r="K832" s="16"/>
    </row>
    <row r="833" spans="1:11" ht="12.75" x14ac:dyDescent="0.2">
      <c r="A833" s="16"/>
      <c r="K833" s="16"/>
    </row>
    <row r="834" spans="1:11" ht="12.75" x14ac:dyDescent="0.2">
      <c r="A834" s="16"/>
      <c r="K834" s="16"/>
    </row>
    <row r="835" spans="1:11" ht="12.75" x14ac:dyDescent="0.2">
      <c r="A835" s="16"/>
      <c r="K835" s="16"/>
    </row>
    <row r="836" spans="1:11" ht="12.75" x14ac:dyDescent="0.2">
      <c r="A836" s="16"/>
      <c r="K836" s="16"/>
    </row>
    <row r="837" spans="1:11" ht="12.75" x14ac:dyDescent="0.2">
      <c r="A837" s="16"/>
      <c r="K837" s="16"/>
    </row>
    <row r="838" spans="1:11" ht="12.75" x14ac:dyDescent="0.2">
      <c r="A838" s="16"/>
      <c r="K838" s="16"/>
    </row>
    <row r="839" spans="1:11" ht="12.75" x14ac:dyDescent="0.2">
      <c r="A839" s="16"/>
      <c r="K839" s="16"/>
    </row>
    <row r="840" spans="1:11" ht="12.75" x14ac:dyDescent="0.2">
      <c r="A840" s="16"/>
      <c r="K840" s="16"/>
    </row>
    <row r="841" spans="1:11" ht="12.75" x14ac:dyDescent="0.2">
      <c r="A841" s="16"/>
      <c r="K841" s="16"/>
    </row>
    <row r="842" spans="1:11" ht="12.75" x14ac:dyDescent="0.2">
      <c r="A842" s="16"/>
      <c r="K842" s="16"/>
    </row>
    <row r="843" spans="1:11" ht="12.75" x14ac:dyDescent="0.2">
      <c r="A843" s="16"/>
      <c r="K843" s="16"/>
    </row>
    <row r="844" spans="1:11" ht="12.75" x14ac:dyDescent="0.2">
      <c r="A844" s="16"/>
      <c r="K844" s="16"/>
    </row>
    <row r="845" spans="1:11" ht="12.75" x14ac:dyDescent="0.2">
      <c r="A845" s="16"/>
      <c r="K845" s="16"/>
    </row>
    <row r="846" spans="1:11" ht="12.75" x14ac:dyDescent="0.2">
      <c r="A846" s="16"/>
      <c r="K846" s="16"/>
    </row>
    <row r="847" spans="1:11" ht="12.75" x14ac:dyDescent="0.2">
      <c r="A847" s="16"/>
      <c r="K847" s="16"/>
    </row>
    <row r="848" spans="1:11" ht="12.75" x14ac:dyDescent="0.2">
      <c r="A848" s="16"/>
      <c r="K848" s="16"/>
    </row>
    <row r="849" spans="1:11" ht="12.75" x14ac:dyDescent="0.2">
      <c r="A849" s="16"/>
      <c r="K849" s="16"/>
    </row>
    <row r="850" spans="1:11" ht="12.75" x14ac:dyDescent="0.2">
      <c r="A850" s="16"/>
      <c r="K850" s="16"/>
    </row>
    <row r="851" spans="1:11" ht="12.75" x14ac:dyDescent="0.2">
      <c r="A851" s="16"/>
      <c r="K851" s="16"/>
    </row>
    <row r="852" spans="1:11" ht="12.75" x14ac:dyDescent="0.2">
      <c r="A852" s="16"/>
      <c r="K852" s="16"/>
    </row>
    <row r="853" spans="1:11" ht="12.75" x14ac:dyDescent="0.2">
      <c r="A853" s="16"/>
      <c r="K853" s="16"/>
    </row>
    <row r="854" spans="1:11" ht="12.75" x14ac:dyDescent="0.2">
      <c r="A854" s="16"/>
      <c r="K854" s="16"/>
    </row>
    <row r="855" spans="1:11" ht="12.75" x14ac:dyDescent="0.2">
      <c r="A855" s="16"/>
      <c r="K855" s="16"/>
    </row>
    <row r="856" spans="1:11" ht="12.75" x14ac:dyDescent="0.2">
      <c r="A856" s="16"/>
      <c r="K856" s="16"/>
    </row>
    <row r="857" spans="1:11" ht="12.75" x14ac:dyDescent="0.2">
      <c r="A857" s="16"/>
      <c r="K857" s="16"/>
    </row>
    <row r="858" spans="1:11" ht="12.75" x14ac:dyDescent="0.2">
      <c r="A858" s="16"/>
      <c r="K858" s="16"/>
    </row>
    <row r="859" spans="1:11" ht="12.75" x14ac:dyDescent="0.2">
      <c r="A859" s="16"/>
      <c r="K859" s="16"/>
    </row>
    <row r="860" spans="1:11" ht="12.75" x14ac:dyDescent="0.2">
      <c r="A860" s="16"/>
      <c r="K860" s="16"/>
    </row>
    <row r="861" spans="1:11" ht="12.75" x14ac:dyDescent="0.2">
      <c r="A861" s="16"/>
      <c r="K861" s="16"/>
    </row>
    <row r="862" spans="1:11" ht="12.75" x14ac:dyDescent="0.2">
      <c r="A862" s="16"/>
      <c r="K862" s="16"/>
    </row>
    <row r="863" spans="1:11" ht="12.75" x14ac:dyDescent="0.2">
      <c r="A863" s="16"/>
      <c r="K863" s="16"/>
    </row>
    <row r="864" spans="1:11" ht="12.75" x14ac:dyDescent="0.2">
      <c r="A864" s="16"/>
      <c r="K864" s="16"/>
    </row>
    <row r="865" spans="1:11" ht="12.75" x14ac:dyDescent="0.2">
      <c r="A865" s="16"/>
      <c r="K865" s="16"/>
    </row>
    <row r="866" spans="1:11" ht="12.75" x14ac:dyDescent="0.2">
      <c r="A866" s="16"/>
      <c r="K866" s="16"/>
    </row>
    <row r="867" spans="1:11" ht="12.75" x14ac:dyDescent="0.2">
      <c r="A867" s="16"/>
      <c r="K867" s="16"/>
    </row>
    <row r="868" spans="1:11" ht="12.75" x14ac:dyDescent="0.2">
      <c r="A868" s="16"/>
      <c r="K868" s="16"/>
    </row>
    <row r="869" spans="1:11" ht="12.75" x14ac:dyDescent="0.2">
      <c r="A869" s="16"/>
      <c r="K869" s="16"/>
    </row>
    <row r="870" spans="1:11" ht="12.75" x14ac:dyDescent="0.2">
      <c r="A870" s="16"/>
      <c r="K870" s="16"/>
    </row>
    <row r="871" spans="1:11" ht="12.75" x14ac:dyDescent="0.2">
      <c r="A871" s="16"/>
      <c r="K871" s="16"/>
    </row>
    <row r="872" spans="1:11" ht="12.75" x14ac:dyDescent="0.2">
      <c r="A872" s="16"/>
      <c r="K872" s="16"/>
    </row>
    <row r="873" spans="1:11" ht="12.75" x14ac:dyDescent="0.2">
      <c r="A873" s="16"/>
      <c r="K873" s="16"/>
    </row>
    <row r="874" spans="1:11" ht="12.75" x14ac:dyDescent="0.2">
      <c r="A874" s="16"/>
      <c r="K874" s="16"/>
    </row>
    <row r="875" spans="1:11" ht="12.75" x14ac:dyDescent="0.2">
      <c r="A875" s="16"/>
      <c r="K875" s="16"/>
    </row>
    <row r="876" spans="1:11" ht="12.75" x14ac:dyDescent="0.2">
      <c r="A876" s="16"/>
      <c r="K876" s="16"/>
    </row>
    <row r="877" spans="1:11" ht="12.75" x14ac:dyDescent="0.2">
      <c r="A877" s="16"/>
      <c r="K877" s="16"/>
    </row>
    <row r="878" spans="1:11" ht="12.75" x14ac:dyDescent="0.2">
      <c r="A878" s="16"/>
      <c r="K878" s="16"/>
    </row>
    <row r="879" spans="1:11" ht="12.75" x14ac:dyDescent="0.2">
      <c r="A879" s="16"/>
      <c r="K879" s="16"/>
    </row>
    <row r="880" spans="1:11" ht="12.75" x14ac:dyDescent="0.2">
      <c r="A880" s="16"/>
      <c r="K880" s="16"/>
    </row>
    <row r="881" spans="1:11" ht="12.75" x14ac:dyDescent="0.2">
      <c r="A881" s="16"/>
      <c r="K881" s="16"/>
    </row>
    <row r="882" spans="1:11" ht="12.75" x14ac:dyDescent="0.2">
      <c r="A882" s="16"/>
      <c r="K882" s="16"/>
    </row>
    <row r="883" spans="1:11" ht="12.75" x14ac:dyDescent="0.2">
      <c r="A883" s="16"/>
      <c r="K883" s="16"/>
    </row>
    <row r="884" spans="1:11" ht="12.75" x14ac:dyDescent="0.2">
      <c r="A884" s="16"/>
      <c r="K884" s="16"/>
    </row>
    <row r="885" spans="1:11" ht="12.75" x14ac:dyDescent="0.2">
      <c r="A885" s="16"/>
      <c r="K885" s="16"/>
    </row>
    <row r="886" spans="1:11" ht="12.75" x14ac:dyDescent="0.2">
      <c r="A886" s="16"/>
      <c r="K886" s="16"/>
    </row>
    <row r="887" spans="1:11" ht="12.75" x14ac:dyDescent="0.2">
      <c r="A887" s="16"/>
      <c r="K887" s="16"/>
    </row>
    <row r="888" spans="1:11" ht="12.75" x14ac:dyDescent="0.2">
      <c r="A888" s="16"/>
      <c r="K888" s="16"/>
    </row>
    <row r="889" spans="1:11" ht="12.75" x14ac:dyDescent="0.2">
      <c r="A889" s="16"/>
      <c r="K889" s="16"/>
    </row>
    <row r="890" spans="1:11" ht="12.75" x14ac:dyDescent="0.2">
      <c r="A890" s="16"/>
      <c r="K890" s="16"/>
    </row>
    <row r="891" spans="1:11" ht="12.75" x14ac:dyDescent="0.2">
      <c r="A891" s="16"/>
      <c r="K891" s="16"/>
    </row>
    <row r="892" spans="1:11" ht="12.75" x14ac:dyDescent="0.2">
      <c r="A892" s="16"/>
      <c r="K892" s="16"/>
    </row>
    <row r="893" spans="1:11" ht="12.75" x14ac:dyDescent="0.2">
      <c r="A893" s="16"/>
      <c r="K893" s="16"/>
    </row>
    <row r="894" spans="1:11" ht="12.75" x14ac:dyDescent="0.2">
      <c r="A894" s="16"/>
      <c r="K894" s="16"/>
    </row>
    <row r="895" spans="1:11" ht="12.75" x14ac:dyDescent="0.2">
      <c r="A895" s="16"/>
      <c r="K895" s="16"/>
    </row>
    <row r="896" spans="1:11" ht="12.75" x14ac:dyDescent="0.2">
      <c r="A896" s="16"/>
      <c r="K896" s="16"/>
    </row>
    <row r="897" spans="1:11" ht="12.75" x14ac:dyDescent="0.2">
      <c r="A897" s="16"/>
      <c r="K897" s="16"/>
    </row>
    <row r="898" spans="1:11" ht="12.75" x14ac:dyDescent="0.2">
      <c r="A898" s="16"/>
      <c r="K898" s="16"/>
    </row>
    <row r="899" spans="1:11" ht="12.75" x14ac:dyDescent="0.2">
      <c r="A899" s="16"/>
      <c r="K899" s="16"/>
    </row>
    <row r="900" spans="1:11" ht="12.75" x14ac:dyDescent="0.2">
      <c r="A900" s="16"/>
      <c r="K900" s="16"/>
    </row>
    <row r="901" spans="1:11" ht="12.75" x14ac:dyDescent="0.2">
      <c r="A901" s="16"/>
      <c r="K901" s="16"/>
    </row>
    <row r="902" spans="1:11" ht="12.75" x14ac:dyDescent="0.2">
      <c r="A902" s="16"/>
      <c r="K902" s="16"/>
    </row>
    <row r="903" spans="1:11" ht="12.75" x14ac:dyDescent="0.2">
      <c r="A903" s="16"/>
      <c r="K903" s="16"/>
    </row>
    <row r="904" spans="1:11" ht="12.75" x14ac:dyDescent="0.2">
      <c r="A904" s="16"/>
      <c r="K904" s="16"/>
    </row>
    <row r="905" spans="1:11" ht="12.75" x14ac:dyDescent="0.2">
      <c r="A905" s="16"/>
      <c r="K905" s="16"/>
    </row>
    <row r="906" spans="1:11" ht="12.75" x14ac:dyDescent="0.2">
      <c r="A906" s="16"/>
      <c r="K906" s="16"/>
    </row>
    <row r="907" spans="1:11" ht="12.75" x14ac:dyDescent="0.2">
      <c r="A907" s="16"/>
      <c r="K907" s="16"/>
    </row>
    <row r="908" spans="1:11" ht="12.75" x14ac:dyDescent="0.2">
      <c r="A908" s="16"/>
      <c r="K908" s="16"/>
    </row>
    <row r="909" spans="1:11" ht="12.75" x14ac:dyDescent="0.2">
      <c r="A909" s="16"/>
      <c r="K909" s="16"/>
    </row>
    <row r="910" spans="1:11" ht="12.75" x14ac:dyDescent="0.2">
      <c r="A910" s="16"/>
      <c r="K910" s="16"/>
    </row>
    <row r="911" spans="1:11" ht="12.75" x14ac:dyDescent="0.2">
      <c r="A911" s="16"/>
      <c r="K911" s="16"/>
    </row>
    <row r="912" spans="1:11" ht="12.75" x14ac:dyDescent="0.2">
      <c r="A912" s="16"/>
      <c r="K912" s="16"/>
    </row>
    <row r="913" spans="1:11" ht="12.75" x14ac:dyDescent="0.2">
      <c r="A913" s="16"/>
      <c r="K913" s="16"/>
    </row>
    <row r="914" spans="1:11" ht="12.75" x14ac:dyDescent="0.2">
      <c r="A914" s="16"/>
      <c r="K914" s="16"/>
    </row>
    <row r="915" spans="1:11" ht="12.75" x14ac:dyDescent="0.2">
      <c r="A915" s="16"/>
      <c r="K915" s="16"/>
    </row>
    <row r="916" spans="1:11" ht="12.75" x14ac:dyDescent="0.2">
      <c r="A916" s="16"/>
      <c r="K916" s="16"/>
    </row>
    <row r="917" spans="1:11" ht="12.75" x14ac:dyDescent="0.2">
      <c r="A917" s="16"/>
      <c r="K917" s="16"/>
    </row>
    <row r="918" spans="1:11" ht="12.75" x14ac:dyDescent="0.2">
      <c r="A918" s="16"/>
      <c r="K918" s="16"/>
    </row>
    <row r="919" spans="1:11" ht="12.75" x14ac:dyDescent="0.2">
      <c r="A919" s="16"/>
      <c r="K919" s="16"/>
    </row>
    <row r="920" spans="1:11" ht="12.75" x14ac:dyDescent="0.2">
      <c r="A920" s="16"/>
      <c r="K920" s="16"/>
    </row>
    <row r="921" spans="1:11" ht="12.75" x14ac:dyDescent="0.2">
      <c r="A921" s="16"/>
      <c r="K921" s="16"/>
    </row>
    <row r="922" spans="1:11" ht="12.75" x14ac:dyDescent="0.2">
      <c r="A922" s="16"/>
      <c r="K922" s="16"/>
    </row>
    <row r="923" spans="1:11" ht="12.75" x14ac:dyDescent="0.2">
      <c r="A923" s="16"/>
      <c r="K923" s="16"/>
    </row>
    <row r="924" spans="1:11" ht="12.75" x14ac:dyDescent="0.2">
      <c r="A924" s="16"/>
      <c r="K924" s="16"/>
    </row>
    <row r="925" spans="1:11" ht="12.75" x14ac:dyDescent="0.2">
      <c r="A925" s="16"/>
      <c r="K925" s="16"/>
    </row>
    <row r="926" spans="1:11" ht="12.75" x14ac:dyDescent="0.2">
      <c r="A926" s="16"/>
      <c r="K926" s="16"/>
    </row>
    <row r="927" spans="1:11" ht="12.75" x14ac:dyDescent="0.2">
      <c r="A927" s="16"/>
      <c r="K927" s="16"/>
    </row>
    <row r="928" spans="1:11" ht="12.75" x14ac:dyDescent="0.2">
      <c r="A928" s="16"/>
      <c r="K928" s="16"/>
    </row>
    <row r="929" spans="1:11" ht="12.75" x14ac:dyDescent="0.2">
      <c r="A929" s="16"/>
      <c r="K929" s="16"/>
    </row>
    <row r="930" spans="1:11" ht="12.75" x14ac:dyDescent="0.2">
      <c r="A930" s="16"/>
      <c r="K930" s="16"/>
    </row>
    <row r="931" spans="1:11" ht="12.75" x14ac:dyDescent="0.2">
      <c r="A931" s="16"/>
      <c r="K931" s="16"/>
    </row>
    <row r="932" spans="1:11" ht="12.75" x14ac:dyDescent="0.2">
      <c r="A932" s="16"/>
      <c r="K932" s="16"/>
    </row>
    <row r="933" spans="1:11" ht="12.75" x14ac:dyDescent="0.2">
      <c r="A933" s="16"/>
      <c r="K933" s="16"/>
    </row>
    <row r="934" spans="1:11" ht="12.75" x14ac:dyDescent="0.2">
      <c r="A934" s="16"/>
      <c r="K934" s="16"/>
    </row>
    <row r="935" spans="1:11" ht="12.75" x14ac:dyDescent="0.2">
      <c r="A935" s="16"/>
      <c r="K935" s="16"/>
    </row>
    <row r="936" spans="1:11" ht="12.75" x14ac:dyDescent="0.2">
      <c r="A936" s="16"/>
      <c r="K936" s="16"/>
    </row>
    <row r="937" spans="1:11" ht="12.75" x14ac:dyDescent="0.2">
      <c r="A937" s="16"/>
      <c r="K937" s="16"/>
    </row>
    <row r="938" spans="1:11" ht="12.75" x14ac:dyDescent="0.2">
      <c r="A938" s="16"/>
      <c r="K938" s="16"/>
    </row>
    <row r="939" spans="1:11" ht="12.75" x14ac:dyDescent="0.2">
      <c r="A939" s="16"/>
      <c r="K939" s="16"/>
    </row>
    <row r="940" spans="1:11" ht="12.75" x14ac:dyDescent="0.2">
      <c r="A940" s="16"/>
      <c r="K940" s="16"/>
    </row>
    <row r="941" spans="1:11" ht="12.75" x14ac:dyDescent="0.2">
      <c r="A941" s="16"/>
      <c r="K941" s="16"/>
    </row>
    <row r="942" spans="1:11" ht="12.75" x14ac:dyDescent="0.2">
      <c r="A942" s="16"/>
      <c r="K942" s="16"/>
    </row>
    <row r="943" spans="1:11" ht="12.75" x14ac:dyDescent="0.2">
      <c r="A943" s="16"/>
      <c r="K943" s="16"/>
    </row>
    <row r="944" spans="1:11" ht="12.75" x14ac:dyDescent="0.2">
      <c r="A944" s="16"/>
      <c r="K944" s="16"/>
    </row>
    <row r="945" spans="1:11" ht="12.75" x14ac:dyDescent="0.2">
      <c r="A945" s="16"/>
      <c r="K945" s="16"/>
    </row>
    <row r="946" spans="1:11" ht="12.75" x14ac:dyDescent="0.2">
      <c r="A946" s="16"/>
      <c r="K946" s="16"/>
    </row>
    <row r="947" spans="1:11" ht="12.75" x14ac:dyDescent="0.2">
      <c r="A947" s="16"/>
      <c r="K947" s="16"/>
    </row>
    <row r="948" spans="1:11" ht="12.75" x14ac:dyDescent="0.2">
      <c r="A948" s="16"/>
      <c r="K948" s="16"/>
    </row>
    <row r="949" spans="1:11" ht="12.75" x14ac:dyDescent="0.2">
      <c r="A949" s="16"/>
      <c r="K949" s="16"/>
    </row>
    <row r="950" spans="1:11" ht="12.75" x14ac:dyDescent="0.2">
      <c r="A950" s="16"/>
      <c r="K950" s="16"/>
    </row>
    <row r="951" spans="1:11" ht="12.75" x14ac:dyDescent="0.2">
      <c r="A951" s="16"/>
      <c r="K951" s="16"/>
    </row>
    <row r="952" spans="1:11" ht="12.75" x14ac:dyDescent="0.2">
      <c r="A952" s="16"/>
      <c r="K952" s="16"/>
    </row>
    <row r="953" spans="1:11" ht="12.75" x14ac:dyDescent="0.2">
      <c r="A953" s="16"/>
      <c r="K953" s="16"/>
    </row>
    <row r="954" spans="1:11" ht="12.75" x14ac:dyDescent="0.2">
      <c r="A954" s="16"/>
      <c r="K954" s="16"/>
    </row>
    <row r="955" spans="1:11" ht="12.75" x14ac:dyDescent="0.2">
      <c r="A955" s="16"/>
      <c r="K955" s="16"/>
    </row>
    <row r="956" spans="1:11" ht="12.75" x14ac:dyDescent="0.2">
      <c r="A956" s="16"/>
      <c r="K956" s="16"/>
    </row>
    <row r="957" spans="1:11" ht="12.75" x14ac:dyDescent="0.2">
      <c r="A957" s="16"/>
      <c r="K957" s="16"/>
    </row>
    <row r="958" spans="1:11" ht="12.75" x14ac:dyDescent="0.2">
      <c r="A958" s="16"/>
      <c r="K958" s="16"/>
    </row>
    <row r="959" spans="1:11" ht="12.75" x14ac:dyDescent="0.2">
      <c r="A959" s="16"/>
      <c r="K959" s="16"/>
    </row>
    <row r="960" spans="1:11" ht="12.75" x14ac:dyDescent="0.2">
      <c r="A960" s="16"/>
      <c r="K960" s="16"/>
    </row>
    <row r="961" spans="1:11" ht="12.75" x14ac:dyDescent="0.2">
      <c r="A961" s="16"/>
      <c r="K961" s="16"/>
    </row>
    <row r="962" spans="1:11" ht="12.75" x14ac:dyDescent="0.2">
      <c r="A962" s="16"/>
      <c r="K962" s="16"/>
    </row>
    <row r="963" spans="1:11" ht="12.75" x14ac:dyDescent="0.2">
      <c r="A963" s="16"/>
      <c r="K963" s="16"/>
    </row>
    <row r="964" spans="1:11" ht="12.75" x14ac:dyDescent="0.2">
      <c r="A964" s="16"/>
      <c r="K964" s="16"/>
    </row>
    <row r="965" spans="1:11" ht="12.75" x14ac:dyDescent="0.2">
      <c r="A965" s="16"/>
      <c r="K965" s="16"/>
    </row>
    <row r="966" spans="1:11" ht="12.75" x14ac:dyDescent="0.2">
      <c r="A966" s="16"/>
      <c r="K966" s="16"/>
    </row>
    <row r="967" spans="1:11" ht="12.75" x14ac:dyDescent="0.2">
      <c r="A967" s="16"/>
      <c r="K967" s="16"/>
    </row>
    <row r="968" spans="1:11" ht="12.75" x14ac:dyDescent="0.2">
      <c r="A968" s="16"/>
      <c r="K968" s="16"/>
    </row>
    <row r="969" spans="1:11" ht="12.75" x14ac:dyDescent="0.2">
      <c r="A969" s="16"/>
      <c r="K969" s="16"/>
    </row>
    <row r="970" spans="1:11" ht="12.75" x14ac:dyDescent="0.2">
      <c r="A970" s="16"/>
      <c r="K970" s="16"/>
    </row>
    <row r="971" spans="1:11" ht="12.75" x14ac:dyDescent="0.2">
      <c r="A971" s="16"/>
      <c r="K971" s="16"/>
    </row>
    <row r="972" spans="1:11" ht="12.75" x14ac:dyDescent="0.2">
      <c r="A972" s="16"/>
      <c r="K972" s="16"/>
    </row>
    <row r="973" spans="1:11" ht="12.75" x14ac:dyDescent="0.2">
      <c r="A973" s="16"/>
      <c r="K973" s="16"/>
    </row>
    <row r="974" spans="1:11" ht="12.75" x14ac:dyDescent="0.2">
      <c r="A974" s="16"/>
      <c r="K974" s="16"/>
    </row>
    <row r="975" spans="1:11" ht="12.75" x14ac:dyDescent="0.2">
      <c r="A975" s="16"/>
      <c r="K975" s="16"/>
    </row>
    <row r="976" spans="1:11" ht="12.75" x14ac:dyDescent="0.2">
      <c r="A976" s="16"/>
      <c r="K976" s="16"/>
    </row>
    <row r="977" spans="1:11" ht="12.75" x14ac:dyDescent="0.2">
      <c r="A977" s="16"/>
      <c r="K977" s="16"/>
    </row>
    <row r="978" spans="1:11" ht="12.75" x14ac:dyDescent="0.2">
      <c r="A978" s="16"/>
      <c r="K978" s="16"/>
    </row>
    <row r="979" spans="1:11" ht="12.75" x14ac:dyDescent="0.2">
      <c r="A979" s="16"/>
      <c r="K979" s="16"/>
    </row>
    <row r="980" spans="1:11" ht="12.75" x14ac:dyDescent="0.2">
      <c r="A980" s="16"/>
      <c r="K980" s="16"/>
    </row>
    <row r="981" spans="1:11" ht="12.75" x14ac:dyDescent="0.2">
      <c r="A981" s="16"/>
      <c r="K981" s="16"/>
    </row>
    <row r="982" spans="1:11" ht="12.75" x14ac:dyDescent="0.2">
      <c r="A982" s="16"/>
      <c r="K982" s="16"/>
    </row>
    <row r="983" spans="1:11" ht="12.75" x14ac:dyDescent="0.2">
      <c r="A983" s="16"/>
      <c r="K983" s="16"/>
    </row>
    <row r="984" spans="1:11" ht="12.75" x14ac:dyDescent="0.2">
      <c r="A984" s="16"/>
      <c r="K984" s="16"/>
    </row>
    <row r="985" spans="1:11" ht="12.75" x14ac:dyDescent="0.2">
      <c r="A985" s="16"/>
      <c r="K985" s="16"/>
    </row>
    <row r="986" spans="1:11" ht="12.75" x14ac:dyDescent="0.2">
      <c r="A986" s="16"/>
      <c r="K986" s="16"/>
    </row>
    <row r="987" spans="1:11" ht="12.75" x14ac:dyDescent="0.2">
      <c r="A987" s="16"/>
      <c r="K987" s="16"/>
    </row>
    <row r="988" spans="1:11" ht="12.75" x14ac:dyDescent="0.2">
      <c r="A988" s="16"/>
      <c r="K988" s="16"/>
    </row>
    <row r="989" spans="1:11" ht="12.75" x14ac:dyDescent="0.2">
      <c r="A989" s="16"/>
      <c r="K989" s="16"/>
    </row>
    <row r="990" spans="1:11" ht="12.75" x14ac:dyDescent="0.2">
      <c r="A990" s="16"/>
      <c r="K990" s="16"/>
    </row>
    <row r="991" spans="1:11" ht="12.75" x14ac:dyDescent="0.2">
      <c r="A991" s="16"/>
      <c r="K991" s="16"/>
    </row>
    <row r="992" spans="1:11" ht="12.75" x14ac:dyDescent="0.2">
      <c r="A992" s="16"/>
      <c r="K992" s="16"/>
    </row>
    <row r="993" spans="1:11" ht="12.75" x14ac:dyDescent="0.2">
      <c r="A993" s="16"/>
      <c r="K993" s="16"/>
    </row>
    <row r="994" spans="1:11" ht="12.75" x14ac:dyDescent="0.2">
      <c r="A994" s="16"/>
      <c r="K994" s="16"/>
    </row>
    <row r="995" spans="1:11" ht="12.75" x14ac:dyDescent="0.2">
      <c r="A995" s="16"/>
      <c r="K995" s="16"/>
    </row>
    <row r="996" spans="1:11" ht="12.75" x14ac:dyDescent="0.2">
      <c r="A996" s="16"/>
      <c r="K996" s="16"/>
    </row>
    <row r="997" spans="1:11" ht="12.75" x14ac:dyDescent="0.2">
      <c r="A997" s="16"/>
      <c r="K997" s="16"/>
    </row>
    <row r="998" spans="1:11" ht="12.75" x14ac:dyDescent="0.2">
      <c r="A998" s="16"/>
      <c r="K998" s="16"/>
    </row>
    <row r="999" spans="1:11" ht="12.75" x14ac:dyDescent="0.2">
      <c r="A999" s="16"/>
      <c r="K999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  <pageSetUpPr fitToPage="1"/>
  </sheetPr>
  <dimension ref="A1:Z998"/>
  <sheetViews>
    <sheetView workbookViewId="0">
      <selection activeCell="N1" sqref="N1"/>
    </sheetView>
  </sheetViews>
  <sheetFormatPr defaultColWidth="12.5703125" defaultRowHeight="15.75" customHeight="1" x14ac:dyDescent="0.2"/>
  <cols>
    <col min="1" max="2" width="25.140625" customWidth="1"/>
    <col min="3" max="3" width="26.85546875" customWidth="1"/>
    <col min="4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0.6" customHeight="1" x14ac:dyDescent="0.35">
      <c r="A1" s="22" t="s">
        <v>1</v>
      </c>
      <c r="B1" s="23" t="s">
        <v>189</v>
      </c>
      <c r="C1" s="23" t="s">
        <v>2</v>
      </c>
      <c r="D1" s="23" t="s">
        <v>8</v>
      </c>
      <c r="E1" s="23" t="s">
        <v>190</v>
      </c>
      <c r="N1" s="30" t="s">
        <v>195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 t="str">
        <f ca="1">IFERROR(__xludf.DUMMYFUNCTION("QUERY(P2:S999,""SELECT * WHERE R IS NOT NULL AND R !='Horse Name' Order By P"")"),"238")</f>
        <v>238</v>
      </c>
      <c r="B2" s="25" t="str">
        <f ca="1">IFERROR(__xludf.DUMMYFUNCTION("""COMPUTED_VALUE"""),"Kendall Jordan")</f>
        <v>Kendall Jordan</v>
      </c>
      <c r="C2" s="25" t="str">
        <f ca="1">IFERROR(__xludf.DUMMYFUNCTION("""COMPUTED_VALUE"""),"Spartan")</f>
        <v>Spartan</v>
      </c>
      <c r="D2" s="25" t="str">
        <f ca="1">IFERROR(__xludf.DUMMYFUNCTION("""COMPUTED_VALUE"""),"Kendall Jordan")</f>
        <v>Kendall Jordan</v>
      </c>
      <c r="E2" s="25" t="s">
        <v>192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IFERROR(__xludf.DUMMYFUNCTION("""COMPUTED_VALUE"""),420)</f>
        <v>420</v>
      </c>
      <c r="Q2" s="25" t="str">
        <f ca="1">IFERROR(__xludf.DUMMYFUNCTION("""COMPUTED_VALUE"""),"Eliza Walters")</f>
        <v>Eliza Walters</v>
      </c>
      <c r="R2" s="25" t="str">
        <f ca="1">IFERROR(__xludf.DUMMYFUNCTION("""COMPUTED_VALUE"""),"Rockin R Imagine That")</f>
        <v>Rockin R Imagine That</v>
      </c>
      <c r="S2" s="25" t="str">
        <f ca="1">IFERROR(__xludf.DUMMYFUNCTION("""COMPUTED_VALUE"""),"Sydney Agee")</f>
        <v>Sydney Agee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 t="str">
        <f ca="1">IFERROR(__xludf.DUMMYFUNCTION("""COMPUTED_VALUE"""),"249")</f>
        <v>249</v>
      </c>
      <c r="B3" s="25" t="str">
        <f ca="1">IFERROR(__xludf.DUMMYFUNCTION("""COMPUTED_VALUE"""),"Leigha Crawford")</f>
        <v>Leigha Crawford</v>
      </c>
      <c r="C3" s="25" t="str">
        <f ca="1">IFERROR(__xludf.DUMMYFUNCTION("""COMPUTED_VALUE"""),"Little Man's Romance")</f>
        <v>Little Man's Romance</v>
      </c>
      <c r="D3" s="25" t="str">
        <f ca="1">IFERROR(__xludf.DUMMYFUNCTION("""COMPUTED_VALUE"""),"Andrea Crawford")</f>
        <v>Andrea Crawford</v>
      </c>
      <c r="E3" s="25" t="s">
        <v>191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IFERROR(__xludf.DUMMYFUNCTION("""COMPUTED_VALUE"""),249)</f>
        <v>249</v>
      </c>
      <c r="Q3" s="25" t="str">
        <f ca="1">IFERROR(__xludf.DUMMYFUNCTION("""COMPUTED_VALUE"""),"Leigha Crawford")</f>
        <v>Leigha Crawford</v>
      </c>
      <c r="R3" s="25" t="str">
        <f ca="1">IFERROR(__xludf.DUMMYFUNCTION("""COMPUTED_VALUE"""),"Little Man's Romance")</f>
        <v>Little Man's Romance</v>
      </c>
      <c r="S3" s="25" t="str">
        <f ca="1">IFERROR(__xludf.DUMMYFUNCTION("""COMPUTED_VALUE"""),"Andrea Crawford")</f>
        <v>Andrea Crawford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 t="str">
        <f ca="1">IFERROR(__xludf.DUMMYFUNCTION("""COMPUTED_VALUE"""),"420")</f>
        <v>420</v>
      </c>
      <c r="B4" s="25" t="str">
        <f ca="1">IFERROR(__xludf.DUMMYFUNCTION("""COMPUTED_VALUE"""),"Eliza Walters")</f>
        <v>Eliza Walters</v>
      </c>
      <c r="C4" s="25" t="str">
        <f ca="1">IFERROR(__xludf.DUMMYFUNCTION("""COMPUTED_VALUE"""),"Rockin R Imagine That")</f>
        <v>Rockin R Imagine That</v>
      </c>
      <c r="D4" s="25" t="str">
        <f ca="1">IFERROR(__xludf.DUMMYFUNCTION("""COMPUTED_VALUE"""),"Sydney Agee")</f>
        <v>Sydney Agee</v>
      </c>
      <c r="E4" s="25" t="s">
        <v>193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IFERROR(__xludf.DUMMYFUNCTION("""COMPUTED_VALUE"""),238)</f>
        <v>238</v>
      </c>
      <c r="Q4" s="25" t="str">
        <f ca="1">IFERROR(__xludf.DUMMYFUNCTION("""COMPUTED_VALUE"""),"Kendall Jordan")</f>
        <v>Kendall Jordan</v>
      </c>
      <c r="R4" s="25" t="str">
        <f ca="1">IFERROR(__xludf.DUMMYFUNCTION("""COMPUTED_VALUE"""),"Spartan")</f>
        <v>Spartan</v>
      </c>
      <c r="S4" s="25" t="str">
        <f ca="1">IFERROR(__xludf.DUMMYFUNCTION("""COMPUTED_VALUE"""),"Kendall Jordan")</f>
        <v>Kendall Jordan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2 Name")</f>
        <v>Rider 2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3 Name")</f>
        <v>Rider 3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5 Name")</f>
        <v>Rider 5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/>
      <c r="B8" s="25"/>
      <c r="C8" s="25"/>
      <c r="D8" s="25"/>
      <c r="E8" s="25">
        <v>0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6 Name")</f>
        <v>Rider 6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 x14ac:dyDescent="0.25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5.75" customHeight="1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</sheetData>
  <printOptions horizontalCentered="1" gridLines="1"/>
  <pageMargins left="0.7" right="0.7" top="0.75" bottom="0.75" header="0" footer="0"/>
  <pageSetup scale="56" fitToHeight="0" pageOrder="overThenDown" orientation="landscape" cellComments="atEn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  <pageSetUpPr fitToPage="1"/>
  </sheetPr>
  <dimension ref="A1:Z998"/>
  <sheetViews>
    <sheetView workbookViewId="0">
      <selection activeCell="N3" sqref="N3"/>
    </sheetView>
  </sheetViews>
  <sheetFormatPr defaultColWidth="12.5703125" defaultRowHeight="15.75" customHeight="1" x14ac:dyDescent="0.2"/>
  <cols>
    <col min="1" max="1" width="22" customWidth="1"/>
    <col min="2" max="2" width="25.140625" customWidth="1"/>
    <col min="3" max="3" width="40.7109375" customWidth="1"/>
    <col min="4" max="5" width="25.140625" customWidth="1"/>
    <col min="6" max="13" width="0" hidden="1" customWidth="1"/>
    <col min="14" max="14" width="71.85546875" customWidth="1"/>
    <col min="15" max="21" width="0" hidden="1" customWidth="1"/>
  </cols>
  <sheetData>
    <row r="1" spans="1:26" ht="28.5" customHeight="1" x14ac:dyDescent="0.35">
      <c r="A1" s="22" t="s">
        <v>1</v>
      </c>
      <c r="B1" s="23" t="s">
        <v>189</v>
      </c>
      <c r="C1" s="23" t="s">
        <v>2</v>
      </c>
      <c r="D1" s="23" t="s">
        <v>8</v>
      </c>
      <c r="E1" s="23" t="s">
        <v>190</v>
      </c>
      <c r="N1" s="30" t="s">
        <v>196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IFERROR(__xludf.DUMMYFUNCTION("QUERY(P2:S999,""SELECT * WHERE R IS NOT NULL AND R !='Horse Name' Order By P"")"),246)</f>
        <v>246</v>
      </c>
      <c r="B2" s="25" t="str">
        <f ca="1">IFERROR(__xludf.DUMMYFUNCTION("""COMPUTED_VALUE"""),"Amy Stefanic")</f>
        <v>Amy Stefanic</v>
      </c>
      <c r="C2" s="25" t="str">
        <f ca="1">IFERROR(__xludf.DUMMYFUNCTION("""COMPUTED_VALUE"""),"GWF Sassy Pants")</f>
        <v>GWF Sassy Pants</v>
      </c>
      <c r="D2" s="25" t="str">
        <f ca="1">IFERROR(__xludf.DUMMYFUNCTION("""COMPUTED_VALUE"""),"Chad Wearer")</f>
        <v>Chad Wearer</v>
      </c>
      <c r="E2" s="25">
        <v>5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IFERROR(__xludf.DUMMYFUNCTION("""COMPUTED_VALUE"""),591)</f>
        <v>591</v>
      </c>
      <c r="Q2" s="25" t="str">
        <f ca="1">IFERROR(__xludf.DUMMYFUNCTION("""COMPUTED_VALUE"""),"Travis Robinson")</f>
        <v>Travis Robinson</v>
      </c>
      <c r="R2" s="25" t="str">
        <f ca="1">IFERROR(__xludf.DUMMYFUNCTION("""COMPUTED_VALUE"""),"RRF Center Stage")</f>
        <v>RRF Center Stage</v>
      </c>
      <c r="S2" s="25" t="str">
        <f ca="1">IFERROR(__xludf.DUMMYFUNCTION("""COMPUTED_VALUE"""),"Jennifer Flannery-Hall")</f>
        <v>Jennifer Flannery-Hall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IFERROR(__xludf.DUMMYFUNCTION("""COMPUTED_VALUE"""),248)</f>
        <v>248</v>
      </c>
      <c r="B3" s="25" t="str">
        <f ca="1">IFERROR(__xludf.DUMMYFUNCTION("""COMPUTED_VALUE"""),"Jacob Park")</f>
        <v>Jacob Park</v>
      </c>
      <c r="C3" s="25" t="str">
        <f ca="1">IFERROR(__xludf.DUMMYFUNCTION("""COMPUTED_VALUE"""),"GHS's Southern Fusion")</f>
        <v>GHS's Southern Fusion</v>
      </c>
      <c r="D3" s="25" t="str">
        <f ca="1">IFERROR(__xludf.DUMMYFUNCTION("""COMPUTED_VALUE"""),"Greathouse Stables")</f>
        <v>Greathouse Stables</v>
      </c>
      <c r="E3" s="25">
        <v>4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IFERROR(__xludf.DUMMYFUNCTION("""COMPUTED_VALUE"""),816)</f>
        <v>816</v>
      </c>
      <c r="Q3" s="25" t="str">
        <f ca="1">IFERROR(__xludf.DUMMYFUNCTION("""COMPUTED_VALUE"""),"Charlie DeAtley")</f>
        <v>Charlie DeAtley</v>
      </c>
      <c r="R3" s="25" t="str">
        <f ca="1">IFERROR(__xludf.DUMMYFUNCTION("""COMPUTED_VALUE"""),"Sydney's Little Honey")</f>
        <v>Sydney's Little Honey</v>
      </c>
      <c r="S3" s="25" t="str">
        <f ca="1">IFERROR(__xludf.DUMMYFUNCTION("""COMPUTED_VALUE"""),"Steve and Susan Heuslein")</f>
        <v>Steve and Susan Heuslein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IFERROR(__xludf.DUMMYFUNCTION("""COMPUTED_VALUE"""),417)</f>
        <v>417</v>
      </c>
      <c r="B4" s="25" t="str">
        <f ca="1">IFERROR(__xludf.DUMMYFUNCTION("""COMPUTED_VALUE"""),"John Rose")</f>
        <v>John Rose</v>
      </c>
      <c r="C4" s="25" t="str">
        <f ca="1">IFERROR(__xludf.DUMMYFUNCTION("""COMPUTED_VALUE"""),"Docks CoCo Motion")</f>
        <v>Docks CoCo Motion</v>
      </c>
      <c r="D4" s="25" t="str">
        <f ca="1">IFERROR(__xludf.DUMMYFUNCTION("""COMPUTED_VALUE"""),"John &amp; Tracy Rose")</f>
        <v>John &amp; Tracy Rose</v>
      </c>
      <c r="E4" s="25">
        <v>7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IFERROR(__xludf.DUMMYFUNCTION("""COMPUTED_VALUE"""),417)</f>
        <v>417</v>
      </c>
      <c r="Q4" s="25" t="str">
        <f ca="1">IFERROR(__xludf.DUMMYFUNCTION("""COMPUTED_VALUE"""),"John Rose")</f>
        <v>John Rose</v>
      </c>
      <c r="R4" s="25" t="str">
        <f ca="1">IFERROR(__xludf.DUMMYFUNCTION("""COMPUTED_VALUE"""),"Docks CoCo Motion")</f>
        <v>Docks CoCo Motion</v>
      </c>
      <c r="S4" s="25" t="str">
        <f ca="1">IFERROR(__xludf.DUMMYFUNCTION("""COMPUTED_VALUE"""),"John &amp; Tracy Rose")</f>
        <v>John &amp; Tracy Rose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IFERROR(__xludf.DUMMYFUNCTION("""COMPUTED_VALUE"""),437)</f>
        <v>437</v>
      </c>
      <c r="B5" s="25" t="str">
        <f ca="1">IFERROR(__xludf.DUMMYFUNCTION("""COMPUTED_VALUE"""),"Shaun Lyon")</f>
        <v>Shaun Lyon</v>
      </c>
      <c r="C5" s="25" t="str">
        <f ca="1">IFERROR(__xludf.DUMMYFUNCTION("""COMPUTED_VALUE"""),"GHS's Get Busy")</f>
        <v>GHS's Get Busy</v>
      </c>
      <c r="D5" s="25" t="str">
        <f ca="1">IFERROR(__xludf.DUMMYFUNCTION("""COMPUTED_VALUE"""),"Shaun Lyon")</f>
        <v>Shaun Lyon</v>
      </c>
      <c r="E5" s="25">
        <v>9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IFERROR(__xludf.DUMMYFUNCTION("""COMPUTED_VALUE"""),901.1)</f>
        <v>901.1</v>
      </c>
      <c r="Q5" s="25" t="str">
        <f ca="1">IFERROR(__xludf.DUMMYFUNCTION("""COMPUTED_VALUE"""),"Cheryl Adkins")</f>
        <v>Cheryl Adkins</v>
      </c>
      <c r="R5" s="25" t="str">
        <f ca="1">IFERROR(__xludf.DUMMYFUNCTION("""COMPUTED_VALUE"""),"GHS's Been A Long Time Coming")</f>
        <v>GHS's Been A Long Time Coming</v>
      </c>
      <c r="S5" s="25" t="str">
        <f ca="1">IFERROR(__xludf.DUMMYFUNCTION("""COMPUTED_VALUE"""),"Dale Chu")</f>
        <v>Dale Chu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IFERROR(__xludf.DUMMYFUNCTION("""COMPUTED_VALUE"""),591)</f>
        <v>591</v>
      </c>
      <c r="B6" s="25" t="str">
        <f ca="1">IFERROR(__xludf.DUMMYFUNCTION("""COMPUTED_VALUE"""),"Travis Robinson")</f>
        <v>Travis Robinson</v>
      </c>
      <c r="C6" s="25" t="str">
        <f ca="1">IFERROR(__xludf.DUMMYFUNCTION("""COMPUTED_VALUE"""),"RRF Center Stage")</f>
        <v>RRF Center Stage</v>
      </c>
      <c r="D6" s="25" t="str">
        <f ca="1">IFERROR(__xludf.DUMMYFUNCTION("""COMPUTED_VALUE"""),"Jennifer Flannery-Hall")</f>
        <v>Jennifer Flannery-Hall</v>
      </c>
      <c r="E6" s="25">
        <v>2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IFERROR(__xludf.DUMMYFUNCTION("""COMPUTED_VALUE"""),437)</f>
        <v>437</v>
      </c>
      <c r="Q6" s="25" t="str">
        <f ca="1">IFERROR(__xludf.DUMMYFUNCTION("""COMPUTED_VALUE"""),"Shaun Lyon")</f>
        <v>Shaun Lyon</v>
      </c>
      <c r="R6" s="25" t="str">
        <f ca="1">IFERROR(__xludf.DUMMYFUNCTION("""COMPUTED_VALUE"""),"GHS's Get Busy")</f>
        <v>GHS's Get Busy</v>
      </c>
      <c r="S6" s="25" t="str">
        <f ca="1">IFERROR(__xludf.DUMMYFUNCTION("""COMPUTED_VALUE"""),"Shaun Lyon")</f>
        <v>Shaun Lyon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IFERROR(__xludf.DUMMYFUNCTION("""COMPUTED_VALUE"""),611)</f>
        <v>611</v>
      </c>
      <c r="B7" s="25" t="str">
        <f ca="1">IFERROR(__xludf.DUMMYFUNCTION("""COMPUTED_VALUE"""),"Makayla Hill")</f>
        <v>Makayla Hill</v>
      </c>
      <c r="C7" s="25" t="str">
        <f ca="1">IFERROR(__xludf.DUMMYFUNCTION("""COMPUTED_VALUE"""),"Rena's Pandora")</f>
        <v>Rena's Pandora</v>
      </c>
      <c r="D7" s="25" t="str">
        <f ca="1">IFERROR(__xludf.DUMMYFUNCTION("""COMPUTED_VALUE"""),"Rocky Creek Farm")</f>
        <v>Rocky Creek Farm</v>
      </c>
      <c r="E7" s="25">
        <v>6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IFERROR(__xludf.DUMMYFUNCTION("""COMPUTED_VALUE"""),611)</f>
        <v>611</v>
      </c>
      <c r="Q7" s="25" t="str">
        <f ca="1">IFERROR(__xludf.DUMMYFUNCTION("""COMPUTED_VALUE"""),"Makayla Hill")</f>
        <v>Makayla Hill</v>
      </c>
      <c r="R7" s="25" t="str">
        <f ca="1">IFERROR(__xludf.DUMMYFUNCTION("""COMPUTED_VALUE"""),"Rena's Pandora")</f>
        <v>Rena's Pandora</v>
      </c>
      <c r="S7" s="25" t="str">
        <f ca="1">IFERROR(__xludf.DUMMYFUNCTION("""COMPUTED_VALUE"""),"Rocky Creek Farm")</f>
        <v>Rocky Creek Farm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>
        <f ca="1">IFERROR(__xludf.DUMMYFUNCTION("""COMPUTED_VALUE"""),700)</f>
        <v>700</v>
      </c>
      <c r="B8" s="25" t="str">
        <f ca="1">IFERROR(__xludf.DUMMYFUNCTION("""COMPUTED_VALUE"""),"Mary Keller Tucker")</f>
        <v>Mary Keller Tucker</v>
      </c>
      <c r="C8" s="25" t="str">
        <f ca="1">IFERROR(__xludf.DUMMYFUNCTION("""COMPUTED_VALUE"""),"DHS's Diamond Broker")</f>
        <v>DHS's Diamond Broker</v>
      </c>
      <c r="D8" s="25" t="str">
        <f ca="1">IFERROR(__xludf.DUMMYFUNCTION("""COMPUTED_VALUE"""),"Melisse Sharkey")</f>
        <v>Melisse Sharkey</v>
      </c>
      <c r="E8" s="25">
        <v>1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IFERROR(__xludf.DUMMYFUNCTION("""COMPUTED_VALUE"""),248)</f>
        <v>248</v>
      </c>
      <c r="Q8" s="25" t="str">
        <f ca="1">IFERROR(__xludf.DUMMYFUNCTION("""COMPUTED_VALUE"""),"Jacob Park")</f>
        <v>Jacob Park</v>
      </c>
      <c r="R8" s="25" t="str">
        <f ca="1">IFERROR(__xludf.DUMMYFUNCTION("""COMPUTED_VALUE"""),"GHS's Southern Fusion")</f>
        <v>GHS's Southern Fusion</v>
      </c>
      <c r="S8" s="25" t="str">
        <f ca="1">IFERROR(__xludf.DUMMYFUNCTION("""COMPUTED_VALUE"""),"Greathouse Stables")</f>
        <v>Greathouse Stables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>
        <f ca="1">IFERROR(__xludf.DUMMYFUNCTION("""COMPUTED_VALUE"""),816)</f>
        <v>816</v>
      </c>
      <c r="B9" s="25" t="str">
        <f ca="1">IFERROR(__xludf.DUMMYFUNCTION("""COMPUTED_VALUE"""),"Charlie DeAtley")</f>
        <v>Charlie DeAtley</v>
      </c>
      <c r="C9" s="25" t="str">
        <f ca="1">IFERROR(__xludf.DUMMYFUNCTION("""COMPUTED_VALUE"""),"Sydney's Little Honey")</f>
        <v>Sydney's Little Honey</v>
      </c>
      <c r="D9" s="25" t="str">
        <f ca="1">IFERROR(__xludf.DUMMYFUNCTION("""COMPUTED_VALUE"""),"Steve and Susan Heuslein")</f>
        <v>Steve and Susan Heuslein</v>
      </c>
      <c r="E9" s="25">
        <v>8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IFERROR(__xludf.DUMMYFUNCTION("""COMPUTED_VALUE"""),246)</f>
        <v>246</v>
      </c>
      <c r="Q9" s="25" t="str">
        <f ca="1">IFERROR(__xludf.DUMMYFUNCTION("""COMPUTED_VALUE"""),"Amy Stefanic")</f>
        <v>Amy Stefanic</v>
      </c>
      <c r="R9" s="25" t="str">
        <f ca="1">IFERROR(__xludf.DUMMYFUNCTION("""COMPUTED_VALUE"""),"GWF Sassy Pants")</f>
        <v>GWF Sassy Pants</v>
      </c>
      <c r="S9" s="25" t="str">
        <f ca="1">IFERROR(__xludf.DUMMYFUNCTION("""COMPUTED_VALUE"""),"Chad Wearer")</f>
        <v>Chad Wearer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>
        <f ca="1">IFERROR(__xludf.DUMMYFUNCTION("""COMPUTED_VALUE"""),901.1)</f>
        <v>901.1</v>
      </c>
      <c r="B10" s="25" t="str">
        <f ca="1">IFERROR(__xludf.DUMMYFUNCTION("""COMPUTED_VALUE"""),"Cheryl Adkins")</f>
        <v>Cheryl Adkins</v>
      </c>
      <c r="C10" s="25" t="str">
        <f ca="1">IFERROR(__xludf.DUMMYFUNCTION("""COMPUTED_VALUE"""),"GHS's Been A Long Time Coming")</f>
        <v>GHS's Been A Long Time Coming</v>
      </c>
      <c r="D10" s="25" t="str">
        <f ca="1">IFERROR(__xludf.DUMMYFUNCTION("""COMPUTED_VALUE"""),"Dale Chu")</f>
        <v>Dale Chu</v>
      </c>
      <c r="E10" s="25">
        <v>3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2 Name")</f>
        <v>Rider 2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3 Name")</f>
        <v>Rider 3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>
        <f ca="1">IFERROR(__xludf.DUMMYFUNCTION("""COMPUTED_VALUE"""),700)</f>
        <v>700</v>
      </c>
      <c r="Q12" s="25" t="str">
        <f ca="1">IFERROR(__xludf.DUMMYFUNCTION("""COMPUTED_VALUE"""),"Mary Keller Tucker")</f>
        <v>Mary Keller Tucker</v>
      </c>
      <c r="R12" s="25" t="str">
        <f ca="1">IFERROR(__xludf.DUMMYFUNCTION("""COMPUTED_VALUE"""),"DHS's Diamond Broker")</f>
        <v>DHS's Diamond Broker</v>
      </c>
      <c r="S12" s="25" t="str">
        <f ca="1">IFERROR(__xludf.DUMMYFUNCTION("""COMPUTED_VALUE"""),"Melisse Sharkey")</f>
        <v>Melisse Sharkey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9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 t="str">
        <f ca="1">IFERROR(__xludf.DUMMYFUNCTION("""COMPUTED_VALUE"""),"Back Number")</f>
        <v>Back Number</v>
      </c>
      <c r="Q13" s="25" t="str">
        <f ca="1">IFERROR(__xludf.DUMMYFUNCTION("""COMPUTED_VALUE"""),"Rider 5 Name")</f>
        <v>Rider 5 Name</v>
      </c>
      <c r="R13" s="25" t="str">
        <f ca="1">IFERROR(__xludf.DUMMYFUNCTION("""COMPUTED_VALUE"""),"Horse Name")</f>
        <v>Horse Name</v>
      </c>
      <c r="S13" s="25" t="str">
        <f ca="1">IFERROR(__xludf.DUMMYFUNCTION("""COMPUTED_VALUE"""),"Owner")</f>
        <v>Owner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 t="str">
        <f ca="1">IFERROR(__xludf.DUMMYFUNCTION("""COMPUTED_VALUE"""),"Back Number")</f>
        <v>Back Number</v>
      </c>
      <c r="Q14" s="25" t="str">
        <f ca="1">IFERROR(__xludf.DUMMYFUNCTION("""COMPUTED_VALUE"""),"Rider 6 Name")</f>
        <v>Rider 6 Name</v>
      </c>
      <c r="R14" s="25" t="str">
        <f ca="1">IFERROR(__xludf.DUMMYFUNCTION("""COMPUTED_VALUE"""),"Horse Name")</f>
        <v>Horse Name</v>
      </c>
      <c r="S14" s="25" t="str">
        <f ca="1">IFERROR(__xludf.DUMMYFUNCTION("""COMPUTED_VALUE"""),"Owner")</f>
        <v>Owner</v>
      </c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 x14ac:dyDescent="0.2">
      <c r="A41" s="16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5.75" customHeight="1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  <pageSetUpPr fitToPage="1"/>
  </sheetPr>
  <dimension ref="A1:Z998"/>
  <sheetViews>
    <sheetView workbookViewId="0">
      <selection activeCell="N1" sqref="N1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26" width="12.5703125" hidden="1"/>
  </cols>
  <sheetData>
    <row r="1" spans="1:19" ht="31.5" customHeight="1" x14ac:dyDescent="0.35">
      <c r="A1" s="22" t="s">
        <v>1</v>
      </c>
      <c r="B1" s="23" t="s">
        <v>189</v>
      </c>
      <c r="C1" s="23" t="s">
        <v>2</v>
      </c>
      <c r="D1" s="23" t="s">
        <v>8</v>
      </c>
      <c r="E1" s="23" t="s">
        <v>190</v>
      </c>
      <c r="N1" s="30" t="s">
        <v>51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19" ht="15.75" customHeight="1" x14ac:dyDescent="0.2">
      <c r="A2" s="16">
        <f ca="1">IFERROR(__xludf.DUMMYFUNCTION("QUERY(P2:S1000,""SELECT * WHERE R IS NOT NULL AND R !='Horse Name' Order By P"")"),50)</f>
        <v>50</v>
      </c>
      <c r="B2" s="1" t="str">
        <f ca="1">IFERROR(__xludf.DUMMYFUNCTION("""COMPUTED_VALUE"""),"Sharma Brown")</f>
        <v>Sharma Brown</v>
      </c>
      <c r="C2" s="1" t="str">
        <f ca="1">IFERROR(__xludf.DUMMYFUNCTION("""COMPUTED_VALUE"""),"G &amp; B's Deuces Wild")</f>
        <v>G &amp; B's Deuces Wild</v>
      </c>
      <c r="D2" s="1" t="str">
        <f ca="1">IFERROR(__xludf.DUMMYFUNCTION("""COMPUTED_VALUE"""),"Sharma Brown")</f>
        <v>Sharma Brown</v>
      </c>
      <c r="E2" s="1">
        <v>4</v>
      </c>
      <c r="P2" s="1">
        <f ca="1">IFERROR(__xludf.DUMMYFUNCTION("""COMPUTED_VALUE"""),828)</f>
        <v>828</v>
      </c>
      <c r="Q2" s="1" t="str">
        <f ca="1">IFERROR(__xludf.DUMMYFUNCTION("""COMPUTED_VALUE"""),"Shelby Weckerly")</f>
        <v>Shelby Weckerly</v>
      </c>
      <c r="R2" s="1" t="str">
        <f ca="1">IFERROR(__xludf.DUMMYFUNCTION("""COMPUTED_VALUE"""),"WOF Soul on Fire")</f>
        <v>WOF Soul on Fire</v>
      </c>
      <c r="S2" s="1" t="str">
        <f ca="1">IFERROR(__xludf.DUMMYFUNCTION("""COMPUTED_VALUE"""),"Shelby Weckerly")</f>
        <v>Shelby Weckerly</v>
      </c>
    </row>
    <row r="3" spans="1:19" ht="15.75" customHeight="1" x14ac:dyDescent="0.2">
      <c r="A3" s="16">
        <f ca="1">IFERROR(__xludf.DUMMYFUNCTION("""COMPUTED_VALUE"""),106)</f>
        <v>106</v>
      </c>
      <c r="B3" s="1" t="str">
        <f ca="1">IFERROR(__xludf.DUMMYFUNCTION("""COMPUTED_VALUE"""),"John Stivers")</f>
        <v>John Stivers</v>
      </c>
      <c r="C3" s="1" t="str">
        <f ca="1">IFERROR(__xludf.DUMMYFUNCTION("""COMPUTED_VALUE"""),"Hell of Heels")</f>
        <v>Hell of Heels</v>
      </c>
      <c r="D3" s="1" t="str">
        <f ca="1">IFERROR(__xludf.DUMMYFUNCTION("""COMPUTED_VALUE"""),"John &amp; Kim Stivers")</f>
        <v>John &amp; Kim Stivers</v>
      </c>
      <c r="P3" s="1">
        <f ca="1">IFERROR(__xludf.DUMMYFUNCTION("""COMPUTED_VALUE"""),777)</f>
        <v>777</v>
      </c>
      <c r="Q3" s="1" t="str">
        <f ca="1">IFERROR(__xludf.DUMMYFUNCTION("""COMPUTED_VALUE"""),"Peg Edwards")</f>
        <v>Peg Edwards</v>
      </c>
      <c r="R3" s="1" t="str">
        <f ca="1">IFERROR(__xludf.DUMMYFUNCTION("""COMPUTED_VALUE"""),"Paco's Master Piece")</f>
        <v>Paco's Master Piece</v>
      </c>
      <c r="S3" s="1" t="str">
        <f ca="1">IFERROR(__xludf.DUMMYFUNCTION("""COMPUTED_VALUE"""),"Peg Edwards")</f>
        <v>Peg Edwards</v>
      </c>
    </row>
    <row r="4" spans="1:19" ht="15.75" customHeight="1" x14ac:dyDescent="0.2">
      <c r="A4" s="16">
        <f ca="1">IFERROR(__xludf.DUMMYFUNCTION("""COMPUTED_VALUE"""),124)</f>
        <v>124</v>
      </c>
      <c r="B4" s="1" t="str">
        <f ca="1">IFERROR(__xludf.DUMMYFUNCTION("""COMPUTED_VALUE"""),"Markeeta Moore")</f>
        <v>Markeeta Moore</v>
      </c>
      <c r="C4" s="1" t="str">
        <f ca="1">IFERROR(__xludf.DUMMYFUNCTION("""COMPUTED_VALUE"""),"RRF's Fashionista")</f>
        <v>RRF's Fashionista</v>
      </c>
      <c r="D4" s="1" t="str">
        <f ca="1">IFERROR(__xludf.DUMMYFUNCTION("""COMPUTED_VALUE"""),"Craig Tyler Moore")</f>
        <v>Craig Tyler Moore</v>
      </c>
      <c r="P4" s="1">
        <f ca="1">IFERROR(__xludf.DUMMYFUNCTION("""COMPUTED_VALUE"""),534)</f>
        <v>534</v>
      </c>
      <c r="Q4" s="1" t="str">
        <f ca="1">IFERROR(__xludf.DUMMYFUNCTION("""COMPUTED_VALUE"""),"Jennifer Flannery-Hall")</f>
        <v>Jennifer Flannery-Hall</v>
      </c>
      <c r="R4" s="1" t="str">
        <f ca="1">IFERROR(__xludf.DUMMYFUNCTION("""COMPUTED_VALUE"""),"Motion's Legacy")</f>
        <v>Motion's Legacy</v>
      </c>
      <c r="S4" s="1" t="str">
        <f ca="1">IFERROR(__xludf.DUMMYFUNCTION("""COMPUTED_VALUE"""),"Jennifer Flannery-Hall")</f>
        <v>Jennifer Flannery-Hall</v>
      </c>
    </row>
    <row r="5" spans="1:19" ht="15.75" customHeight="1" x14ac:dyDescent="0.2">
      <c r="A5" s="16">
        <f ca="1">IFERROR(__xludf.DUMMYFUNCTION("""COMPUTED_VALUE"""),188)</f>
        <v>188</v>
      </c>
      <c r="B5" s="1" t="str">
        <f ca="1">IFERROR(__xludf.DUMMYFUNCTION("""COMPUTED_VALUE"""),"Ragan Adkins")</f>
        <v>Ragan Adkins</v>
      </c>
      <c r="C5" s="1" t="str">
        <f ca="1">IFERROR(__xludf.DUMMYFUNCTION("""COMPUTED_VALUE"""),"Elixir's Juliet")</f>
        <v>Elixir's Juliet</v>
      </c>
      <c r="D5" s="1" t="str">
        <f ca="1">IFERROR(__xludf.DUMMYFUNCTION("""COMPUTED_VALUE"""),"Lisa Nicarry")</f>
        <v>Lisa Nicarry</v>
      </c>
      <c r="E5" s="1">
        <v>8</v>
      </c>
      <c r="P5" s="1">
        <f ca="1">IFERROR(__xludf.DUMMYFUNCTION("""COMPUTED_VALUE"""),919)</f>
        <v>919</v>
      </c>
      <c r="Q5" s="1" t="str">
        <f ca="1">IFERROR(__xludf.DUMMYFUNCTION("""COMPUTED_VALUE"""),"Jonathan Ramey")</f>
        <v>Jonathan Ramey</v>
      </c>
      <c r="R5" s="1" t="str">
        <f ca="1">IFERROR(__xludf.DUMMYFUNCTION("""COMPUTED_VALUE"""),"Rio's River Dance")</f>
        <v>Rio's River Dance</v>
      </c>
      <c r="S5" s="1" t="str">
        <f ca="1">IFERROR(__xludf.DUMMYFUNCTION("""COMPUTED_VALUE"""),"Jonathan Ramey")</f>
        <v>Jonathan Ramey</v>
      </c>
    </row>
    <row r="6" spans="1:19" ht="15.75" customHeight="1" x14ac:dyDescent="0.2">
      <c r="A6" s="16">
        <f ca="1">IFERROR(__xludf.DUMMYFUNCTION("""COMPUTED_VALUE"""),300)</f>
        <v>300</v>
      </c>
      <c r="B6" s="1" t="str">
        <f ca="1">IFERROR(__xludf.DUMMYFUNCTION("""COMPUTED_VALUE"""),"Allison Jones")</f>
        <v>Allison Jones</v>
      </c>
      <c r="C6" s="1" t="str">
        <f ca="1">IFERROR(__xludf.DUMMYFUNCTION("""COMPUTED_VALUE"""),"Silver's Meteor Shower")</f>
        <v>Silver's Meteor Shower</v>
      </c>
      <c r="D6" s="1" t="str">
        <f ca="1">IFERROR(__xludf.DUMMYFUNCTION("""COMPUTED_VALUE"""),"Allison Jones")</f>
        <v>Allison Jones</v>
      </c>
      <c r="E6" s="1">
        <v>3</v>
      </c>
      <c r="P6" s="1">
        <f ca="1">IFERROR(__xludf.DUMMYFUNCTION("""COMPUTED_VALUE"""),845)</f>
        <v>845</v>
      </c>
      <c r="Q6" s="1" t="str">
        <f ca="1">IFERROR(__xludf.DUMMYFUNCTION("""COMPUTED_VALUE"""),"Cole Compton")</f>
        <v>Cole Compton</v>
      </c>
      <c r="R6" s="1" t="str">
        <f ca="1">IFERROR(__xludf.DUMMYFUNCTION("""COMPUTED_VALUE"""),"GHS's Quality Road ")</f>
        <v xml:space="preserve">GHS's Quality Road </v>
      </c>
      <c r="S6" s="1" t="str">
        <f ca="1">IFERROR(__xludf.DUMMYFUNCTION("""COMPUTED_VALUE"""),"Cole Compton")</f>
        <v>Cole Compton</v>
      </c>
    </row>
    <row r="7" spans="1:19" ht="15.75" customHeight="1" x14ac:dyDescent="0.2">
      <c r="A7" s="16">
        <f ca="1">IFERROR(__xludf.DUMMYFUNCTION("""COMPUTED_VALUE"""),301)</f>
        <v>301</v>
      </c>
      <c r="B7" s="1" t="str">
        <f ca="1">IFERROR(__xludf.DUMMYFUNCTION("""COMPUTED_VALUE"""),"Myranda Elliott")</f>
        <v>Myranda Elliott</v>
      </c>
      <c r="C7" s="1" t="str">
        <f ca="1">IFERROR(__xludf.DUMMYFUNCTION("""COMPUTED_VALUE"""),"CCF Unleashed")</f>
        <v>CCF Unleashed</v>
      </c>
      <c r="D7" s="1" t="str">
        <f ca="1">IFERROR(__xludf.DUMMYFUNCTION("""COMPUTED_VALUE"""),"Myranda Elliott")</f>
        <v>Myranda Elliott</v>
      </c>
      <c r="E7" s="1">
        <v>5</v>
      </c>
      <c r="P7" s="1">
        <f ca="1">IFERROR(__xludf.DUMMYFUNCTION("""COMPUTED_VALUE"""),300)</f>
        <v>300</v>
      </c>
      <c r="Q7" s="1" t="str">
        <f ca="1">IFERROR(__xludf.DUMMYFUNCTION("""COMPUTED_VALUE"""),"Allison Jones")</f>
        <v>Allison Jones</v>
      </c>
      <c r="R7" s="1" t="str">
        <f ca="1">IFERROR(__xludf.DUMMYFUNCTION("""COMPUTED_VALUE"""),"Silver's Meteor Shower")</f>
        <v>Silver's Meteor Shower</v>
      </c>
      <c r="S7" s="1" t="str">
        <f ca="1">IFERROR(__xludf.DUMMYFUNCTION("""COMPUTED_VALUE"""),"Allison Jones")</f>
        <v>Allison Jones</v>
      </c>
    </row>
    <row r="8" spans="1:19" ht="15.75" customHeight="1" x14ac:dyDescent="0.2">
      <c r="A8" s="16">
        <f ca="1">IFERROR(__xludf.DUMMYFUNCTION("""COMPUTED_VALUE"""),385)</f>
        <v>385</v>
      </c>
      <c r="B8" s="1" t="str">
        <f ca="1">IFERROR(__xludf.DUMMYFUNCTION("""COMPUTED_VALUE"""),"Monée Hollingsworth")</f>
        <v>Monée Hollingsworth</v>
      </c>
      <c r="C8" s="1" t="str">
        <f ca="1">IFERROR(__xludf.DUMMYFUNCTION("""COMPUTED_VALUE"""),"3BF Midnight Lane")</f>
        <v>3BF Midnight Lane</v>
      </c>
      <c r="D8" s="1" t="str">
        <f ca="1">IFERROR(__xludf.DUMMYFUNCTION("""COMPUTED_VALUE"""),"Ronn &amp; Beverly Pelfrey ")</f>
        <v xml:space="preserve">Ronn &amp; Beverly Pelfrey </v>
      </c>
      <c r="P8" s="1">
        <f ca="1">IFERROR(__xludf.DUMMYFUNCTION("""COMPUTED_VALUE"""),930)</f>
        <v>930</v>
      </c>
      <c r="Q8" s="1" t="str">
        <f ca="1">IFERROR(__xludf.DUMMYFUNCTION("""COMPUTED_VALUE"""),"Ashleigh Johnson")</f>
        <v>Ashleigh Johnson</v>
      </c>
      <c r="R8" s="1" t="str">
        <f ca="1">IFERROR(__xludf.DUMMYFUNCTION("""COMPUTED_VALUE"""),"A Fearless Warrior")</f>
        <v>A Fearless Warrior</v>
      </c>
      <c r="S8" s="1" t="str">
        <f ca="1">IFERROR(__xludf.DUMMYFUNCTION("""COMPUTED_VALUE"""),"Ashleigh Johnson")</f>
        <v>Ashleigh Johnson</v>
      </c>
    </row>
    <row r="9" spans="1:19" ht="15.75" customHeight="1" x14ac:dyDescent="0.2">
      <c r="A9" s="16">
        <f ca="1">IFERROR(__xludf.DUMMYFUNCTION("""COMPUTED_VALUE"""),457)</f>
        <v>457</v>
      </c>
      <c r="B9" s="1" t="str">
        <f ca="1">IFERROR(__xludf.DUMMYFUNCTION("""COMPUTED_VALUE"""),"Luka Bowman")</f>
        <v>Luka Bowman</v>
      </c>
      <c r="C9" s="1" t="str">
        <f ca="1">IFERROR(__xludf.DUMMYFUNCTION("""COMPUTED_VALUE"""),"Crack This")</f>
        <v>Crack This</v>
      </c>
      <c r="D9" s="1" t="str">
        <f ca="1">IFERROR(__xludf.DUMMYFUNCTION("""COMPUTED_VALUE"""),"Luka Bowman &amp; Keith Pugh")</f>
        <v>Luka Bowman &amp; Keith Pugh</v>
      </c>
      <c r="E9" s="1">
        <v>10</v>
      </c>
      <c r="P9" s="1">
        <f ca="1">IFERROR(__xludf.DUMMYFUNCTION("""COMPUTED_VALUE"""),124)</f>
        <v>124</v>
      </c>
      <c r="Q9" s="1" t="str">
        <f ca="1">IFERROR(__xludf.DUMMYFUNCTION("""COMPUTED_VALUE"""),"Markeeta Moore")</f>
        <v>Markeeta Moore</v>
      </c>
      <c r="R9" s="1" t="str">
        <f ca="1">IFERROR(__xludf.DUMMYFUNCTION("""COMPUTED_VALUE"""),"RRF's Fashionista")</f>
        <v>RRF's Fashionista</v>
      </c>
      <c r="S9" s="1" t="str">
        <f ca="1">IFERROR(__xludf.DUMMYFUNCTION("""COMPUTED_VALUE"""),"Craig Tyler Moore")</f>
        <v>Craig Tyler Moore</v>
      </c>
    </row>
    <row r="10" spans="1:19" ht="15.75" customHeight="1" x14ac:dyDescent="0.2">
      <c r="A10" s="16">
        <f ca="1">IFERROR(__xludf.DUMMYFUNCTION("""COMPUTED_VALUE"""),522)</f>
        <v>522</v>
      </c>
      <c r="B10" s="1" t="str">
        <f ca="1">IFERROR(__xludf.DUMMYFUNCTION("""COMPUTED_VALUE"""),"Julie Tucker")</f>
        <v>Julie Tucker</v>
      </c>
      <c r="C10" s="1" t="str">
        <f ca="1">IFERROR(__xludf.DUMMYFUNCTION("""COMPUTED_VALUE"""),"WOF Glamour &amp; Style")</f>
        <v>WOF Glamour &amp; Style</v>
      </c>
      <c r="D10" s="1" t="str">
        <f ca="1">IFERROR(__xludf.DUMMYFUNCTION("""COMPUTED_VALUE"""),"Mary Keller Tucker")</f>
        <v>Mary Keller Tucker</v>
      </c>
      <c r="P10" s="1">
        <f ca="1">IFERROR(__xludf.DUMMYFUNCTION("""COMPUTED_VALUE"""),106)</f>
        <v>106</v>
      </c>
      <c r="Q10" s="1" t="str">
        <f ca="1">IFERROR(__xludf.DUMMYFUNCTION("""COMPUTED_VALUE"""),"John Stivers")</f>
        <v>John Stivers</v>
      </c>
      <c r="R10" s="1" t="str">
        <f ca="1">IFERROR(__xludf.DUMMYFUNCTION("""COMPUTED_VALUE"""),"Hell of Heels")</f>
        <v>Hell of Heels</v>
      </c>
      <c r="S10" s="1" t="str">
        <f ca="1">IFERROR(__xludf.DUMMYFUNCTION("""COMPUTED_VALUE"""),"John &amp; Kim Stivers")</f>
        <v>John &amp; Kim Stivers</v>
      </c>
    </row>
    <row r="11" spans="1:19" ht="15.75" customHeight="1" x14ac:dyDescent="0.2">
      <c r="A11" s="16">
        <f ca="1">IFERROR(__xludf.DUMMYFUNCTION("""COMPUTED_VALUE"""),534)</f>
        <v>534</v>
      </c>
      <c r="B11" s="1" t="str">
        <f ca="1">IFERROR(__xludf.DUMMYFUNCTION("""COMPUTED_VALUE"""),"Jennifer Flannery-Hall")</f>
        <v>Jennifer Flannery-Hall</v>
      </c>
      <c r="C11" s="1" t="str">
        <f ca="1">IFERROR(__xludf.DUMMYFUNCTION("""COMPUTED_VALUE"""),"Motion's Legacy")</f>
        <v>Motion's Legacy</v>
      </c>
      <c r="D11" s="1" t="str">
        <f ca="1">IFERROR(__xludf.DUMMYFUNCTION("""COMPUTED_VALUE"""),"Jennifer Flannery-Hall")</f>
        <v>Jennifer Flannery-Hall</v>
      </c>
      <c r="E11" s="1">
        <v>2</v>
      </c>
      <c r="P11" s="1">
        <f ca="1">IFERROR(__xludf.DUMMYFUNCTION("""COMPUTED_VALUE"""),643)</f>
        <v>643</v>
      </c>
      <c r="Q11" s="1" t="str">
        <f ca="1">IFERROR(__xludf.DUMMYFUNCTION("""COMPUTED_VALUE"""),"Chad Weaver")</f>
        <v>Chad Weaver</v>
      </c>
      <c r="R11" s="1" t="str">
        <f ca="1">IFERROR(__xludf.DUMMYFUNCTION("""COMPUTED_VALUE"""),"GWF Mr. Sophisticated ")</f>
        <v xml:space="preserve">GWF Mr. Sophisticated </v>
      </c>
      <c r="S11" s="1" t="str">
        <f ca="1">IFERROR(__xludf.DUMMYFUNCTION("""COMPUTED_VALUE"""),"Jeff &amp; Mary AnnMarrs")</f>
        <v>Jeff &amp; Mary AnnMarrs</v>
      </c>
    </row>
    <row r="12" spans="1:19" ht="15.75" customHeight="1" x14ac:dyDescent="0.2">
      <c r="A12" s="16">
        <f ca="1">IFERROR(__xludf.DUMMYFUNCTION("""COMPUTED_VALUE"""),584)</f>
        <v>584</v>
      </c>
      <c r="B12" s="1" t="s">
        <v>158</v>
      </c>
      <c r="C12" s="1" t="str">
        <f ca="1">IFERROR(__xludf.DUMMYFUNCTION("""COMPUTED_VALUE"""),"DNS Im Taking Charge")</f>
        <v>DNS Im Taking Charge</v>
      </c>
      <c r="D12" s="1" t="s">
        <v>158</v>
      </c>
      <c r="E12" s="1">
        <v>9</v>
      </c>
      <c r="P12" s="1">
        <f ca="1">IFERROR(__xludf.DUMMYFUNCTION("""COMPUTED_VALUE"""),301)</f>
        <v>301</v>
      </c>
      <c r="Q12" s="1" t="str">
        <f ca="1">IFERROR(__xludf.DUMMYFUNCTION("""COMPUTED_VALUE"""),"Myranda Elliott")</f>
        <v>Myranda Elliott</v>
      </c>
      <c r="R12" s="1" t="str">
        <f ca="1">IFERROR(__xludf.DUMMYFUNCTION("""COMPUTED_VALUE"""),"CCF Unleashed")</f>
        <v>CCF Unleashed</v>
      </c>
      <c r="S12" s="1" t="str">
        <f ca="1">IFERROR(__xludf.DUMMYFUNCTION("""COMPUTED_VALUE"""),"Myranda Elliott")</f>
        <v>Myranda Elliott</v>
      </c>
    </row>
    <row r="13" spans="1:19" ht="15.75" customHeight="1" x14ac:dyDescent="0.2">
      <c r="A13" s="16">
        <f ca="1">IFERROR(__xludf.DUMMYFUNCTION("""COMPUTED_VALUE"""),643)</f>
        <v>643</v>
      </c>
      <c r="B13" s="1" t="str">
        <f ca="1">IFERROR(__xludf.DUMMYFUNCTION("""COMPUTED_VALUE"""),"Chad Weaver")</f>
        <v>Chad Weaver</v>
      </c>
      <c r="C13" s="1" t="str">
        <f ca="1">IFERROR(__xludf.DUMMYFUNCTION("""COMPUTED_VALUE"""),"GWF Mr. Sophisticated ")</f>
        <v xml:space="preserve">GWF Mr. Sophisticated </v>
      </c>
      <c r="D13" s="1" t="str">
        <f ca="1">IFERROR(__xludf.DUMMYFUNCTION("""COMPUTED_VALUE"""),"Jeff &amp; Mary AnnMarrs")</f>
        <v>Jeff &amp; Mary AnnMarrs</v>
      </c>
      <c r="E13" s="1">
        <v>6</v>
      </c>
      <c r="P13" s="1">
        <f ca="1">IFERROR(__xludf.DUMMYFUNCTION("""COMPUTED_VALUE"""),457)</f>
        <v>457</v>
      </c>
      <c r="Q13" s="1" t="str">
        <f ca="1">IFERROR(__xludf.DUMMYFUNCTION("""COMPUTED_VALUE"""),"Luka Bowman")</f>
        <v>Luka Bowman</v>
      </c>
      <c r="R13" s="1" t="str">
        <f ca="1">IFERROR(__xludf.DUMMYFUNCTION("""COMPUTED_VALUE"""),"Crack This")</f>
        <v>Crack This</v>
      </c>
      <c r="S13" s="1" t="str">
        <f ca="1">IFERROR(__xludf.DUMMYFUNCTION("""COMPUTED_VALUE"""),"Luka Bowman &amp; Keith Pugh")</f>
        <v>Luka Bowman &amp; Keith Pugh</v>
      </c>
    </row>
    <row r="14" spans="1:19" ht="15.75" customHeight="1" x14ac:dyDescent="0.2">
      <c r="A14" s="16">
        <f ca="1">IFERROR(__xludf.DUMMYFUNCTION("""COMPUTED_VALUE"""),777)</f>
        <v>777</v>
      </c>
      <c r="B14" s="1" t="str">
        <f ca="1">IFERROR(__xludf.DUMMYFUNCTION("""COMPUTED_VALUE"""),"Peg Edwards")</f>
        <v>Peg Edwards</v>
      </c>
      <c r="C14" s="1" t="str">
        <f ca="1">IFERROR(__xludf.DUMMYFUNCTION("""COMPUTED_VALUE"""),"Paco's Master Piece")</f>
        <v>Paco's Master Piece</v>
      </c>
      <c r="D14" s="1" t="str">
        <f ca="1">IFERROR(__xludf.DUMMYFUNCTION("""COMPUTED_VALUE"""),"Peg Edwards")</f>
        <v>Peg Edwards</v>
      </c>
      <c r="E14" s="1">
        <v>7</v>
      </c>
      <c r="P14" s="1">
        <f ca="1">IFERROR(__xludf.DUMMYFUNCTION("""COMPUTED_VALUE"""),584)</f>
        <v>584</v>
      </c>
      <c r="Q14" s="1" t="str">
        <f ca="1">IFERROR(__xludf.DUMMYFUNCTION("""COMPUTED_VALUE"""),"Ashley Hanson")</f>
        <v>Ashley Hanson</v>
      </c>
      <c r="R14" s="1" t="str">
        <f ca="1">IFERROR(__xludf.DUMMYFUNCTION("""COMPUTED_VALUE"""),"DNS Im Taking Charge")</f>
        <v>DNS Im Taking Charge</v>
      </c>
      <c r="S14" s="1" t="str">
        <f ca="1">IFERROR(__xludf.DUMMYFUNCTION("""COMPUTED_VALUE"""),"Ashley Hanson")</f>
        <v>Ashley Hanson</v>
      </c>
    </row>
    <row r="15" spans="1:19" ht="15.75" customHeight="1" x14ac:dyDescent="0.2">
      <c r="A15" s="16">
        <f ca="1">IFERROR(__xludf.DUMMYFUNCTION("""COMPUTED_VALUE"""),811)</f>
        <v>811</v>
      </c>
      <c r="B15" s="1" t="str">
        <f ca="1">IFERROR(__xludf.DUMMYFUNCTION("""COMPUTED_VALUE"""),"Leah Palmquist")</f>
        <v>Leah Palmquist</v>
      </c>
      <c r="C15" s="1" t="str">
        <f ca="1">IFERROR(__xludf.DUMMYFUNCTION("""COMPUTED_VALUE"""),"Elite's Hallelujah")</f>
        <v>Elite's Hallelujah</v>
      </c>
      <c r="D15" s="1" t="str">
        <f ca="1">IFERROR(__xludf.DUMMYFUNCTION("""COMPUTED_VALUE"""),"Julie Brown")</f>
        <v>Julie Brown</v>
      </c>
      <c r="P15" s="1">
        <f ca="1">IFERROR(__xludf.DUMMYFUNCTION("""COMPUTED_VALUE"""),385)</f>
        <v>385</v>
      </c>
      <c r="Q15" s="1" t="str">
        <f ca="1">IFERROR(__xludf.DUMMYFUNCTION("""COMPUTED_VALUE"""),"Monée Hollingsworth")</f>
        <v>Monée Hollingsworth</v>
      </c>
      <c r="R15" s="1" t="str">
        <f ca="1">IFERROR(__xludf.DUMMYFUNCTION("""COMPUTED_VALUE"""),"3BF Midnight Lane")</f>
        <v>3BF Midnight Lane</v>
      </c>
      <c r="S15" s="1" t="str">
        <f ca="1">IFERROR(__xludf.DUMMYFUNCTION("""COMPUTED_VALUE"""),"Ronn &amp; Beverly Pelfrey ")</f>
        <v xml:space="preserve">Ronn &amp; Beverly Pelfrey </v>
      </c>
    </row>
    <row r="16" spans="1:19" ht="15.75" customHeight="1" x14ac:dyDescent="0.2">
      <c r="A16" s="16">
        <f ca="1">IFERROR(__xludf.DUMMYFUNCTION("""COMPUTED_VALUE"""),828)</f>
        <v>828</v>
      </c>
      <c r="B16" s="1" t="str">
        <f ca="1">IFERROR(__xludf.DUMMYFUNCTION("""COMPUTED_VALUE"""),"Shelby Weckerly")</f>
        <v>Shelby Weckerly</v>
      </c>
      <c r="C16" s="1" t="str">
        <f ca="1">IFERROR(__xludf.DUMMYFUNCTION("""COMPUTED_VALUE"""),"WOF Soul on Fire")</f>
        <v>WOF Soul on Fire</v>
      </c>
      <c r="D16" s="1" t="str">
        <f ca="1">IFERROR(__xludf.DUMMYFUNCTION("""COMPUTED_VALUE"""),"Shelby Weckerly")</f>
        <v>Shelby Weckerly</v>
      </c>
      <c r="P16" s="1">
        <f ca="1">IFERROR(__xludf.DUMMYFUNCTION("""COMPUTED_VALUE"""),188)</f>
        <v>188</v>
      </c>
      <c r="Q16" s="1" t="str">
        <f ca="1">IFERROR(__xludf.DUMMYFUNCTION("""COMPUTED_VALUE"""),"Ragan Adkins")</f>
        <v>Ragan Adkins</v>
      </c>
      <c r="R16" s="1" t="str">
        <f ca="1">IFERROR(__xludf.DUMMYFUNCTION("""COMPUTED_VALUE"""),"Elixir's Juliet")</f>
        <v>Elixir's Juliet</v>
      </c>
      <c r="S16" s="1" t="str">
        <f ca="1">IFERROR(__xludf.DUMMYFUNCTION("""COMPUTED_VALUE"""),"Lisa Nicarry")</f>
        <v>Lisa Nicarry</v>
      </c>
    </row>
    <row r="17" spans="1:19" ht="15.75" customHeight="1" x14ac:dyDescent="0.2">
      <c r="A17" s="16">
        <f ca="1">IFERROR(__xludf.DUMMYFUNCTION("""COMPUTED_VALUE"""),845)</f>
        <v>845</v>
      </c>
      <c r="B17" s="1" t="str">
        <f ca="1">IFERROR(__xludf.DUMMYFUNCTION("""COMPUTED_VALUE"""),"Cole Compton")</f>
        <v>Cole Compton</v>
      </c>
      <c r="C17" s="1" t="str">
        <f ca="1">IFERROR(__xludf.DUMMYFUNCTION("""COMPUTED_VALUE"""),"GHS's Quality Road ")</f>
        <v xml:space="preserve">GHS's Quality Road </v>
      </c>
      <c r="D17" s="1" t="str">
        <f ca="1">IFERROR(__xludf.DUMMYFUNCTION("""COMPUTED_VALUE"""),"Cole Compton")</f>
        <v>Cole Compton</v>
      </c>
      <c r="P17" s="1">
        <f ca="1">IFERROR(__xludf.DUMMYFUNCTION("""COMPUTED_VALUE"""),522)</f>
        <v>522</v>
      </c>
      <c r="Q17" s="1" t="str">
        <f ca="1">IFERROR(__xludf.DUMMYFUNCTION("""COMPUTED_VALUE"""),"Julie Tucker")</f>
        <v>Julie Tucker</v>
      </c>
      <c r="R17" s="1" t="str">
        <f ca="1">IFERROR(__xludf.DUMMYFUNCTION("""COMPUTED_VALUE"""),"WOF Glamour &amp; Style")</f>
        <v>WOF Glamour &amp; Style</v>
      </c>
      <c r="S17" s="1" t="str">
        <f ca="1">IFERROR(__xludf.DUMMYFUNCTION("""COMPUTED_VALUE"""),"Mary Keller Tucker")</f>
        <v>Mary Keller Tucker</v>
      </c>
    </row>
    <row r="18" spans="1:19" ht="15.75" customHeight="1" x14ac:dyDescent="0.2">
      <c r="A18" s="16">
        <f ca="1">IFERROR(__xludf.DUMMYFUNCTION("""COMPUTED_VALUE"""),919)</f>
        <v>919</v>
      </c>
      <c r="B18" s="1" t="str">
        <f ca="1">IFERROR(__xludf.DUMMYFUNCTION("""COMPUTED_VALUE"""),"Jonathan Ramey")</f>
        <v>Jonathan Ramey</v>
      </c>
      <c r="C18" s="1" t="str">
        <f ca="1">IFERROR(__xludf.DUMMYFUNCTION("""COMPUTED_VALUE"""),"Rio's River Dance")</f>
        <v>Rio's River Dance</v>
      </c>
      <c r="D18" s="1" t="str">
        <f ca="1">IFERROR(__xludf.DUMMYFUNCTION("""COMPUTED_VALUE"""),"Jonathan Ramey")</f>
        <v>Jonathan Ramey</v>
      </c>
      <c r="P18" s="1" t="str">
        <f ca="1">IFERROR(__xludf.DUMMYFUNCTION("""COMPUTED_VALUE"""),"Back Number")</f>
        <v>Back Number</v>
      </c>
      <c r="Q18" s="1" t="str">
        <f ca="1">IFERROR(__xludf.DUMMYFUNCTION("""COMPUTED_VALUE"""),"Rider 2 Name")</f>
        <v>Rider 2 Name</v>
      </c>
      <c r="R18" s="1" t="str">
        <f ca="1">IFERROR(__xludf.DUMMYFUNCTION("""COMPUTED_VALUE"""),"Horse Name")</f>
        <v>Horse Name</v>
      </c>
      <c r="S18" s="1" t="str">
        <f ca="1">IFERROR(__xludf.DUMMYFUNCTION("""COMPUTED_VALUE"""),"Owner")</f>
        <v>Owner</v>
      </c>
    </row>
    <row r="19" spans="1:19" ht="15.75" customHeight="1" x14ac:dyDescent="0.2">
      <c r="A19" s="16">
        <f ca="1">IFERROR(__xludf.DUMMYFUNCTION("""COMPUTED_VALUE"""),930)</f>
        <v>930</v>
      </c>
      <c r="B19" s="1" t="str">
        <f ca="1">IFERROR(__xludf.DUMMYFUNCTION("""COMPUTED_VALUE"""),"Ashleigh Johnson")</f>
        <v>Ashleigh Johnson</v>
      </c>
      <c r="C19" s="1" t="str">
        <f ca="1">IFERROR(__xludf.DUMMYFUNCTION("""COMPUTED_VALUE"""),"A Fearless Warrior")</f>
        <v>A Fearless Warrior</v>
      </c>
      <c r="D19" s="1" t="str">
        <f ca="1">IFERROR(__xludf.DUMMYFUNCTION("""COMPUTED_VALUE"""),"Ashleigh Johnson")</f>
        <v>Ashleigh Johnson</v>
      </c>
      <c r="E19" s="1">
        <v>1</v>
      </c>
      <c r="P19" s="1">
        <f ca="1">IFERROR(__xludf.DUMMYFUNCTION("""COMPUTED_VALUE"""),811)</f>
        <v>811</v>
      </c>
      <c r="Q19" s="1" t="str">
        <f ca="1">IFERROR(__xludf.DUMMYFUNCTION("""COMPUTED_VALUE"""),"Leah Palmquist")</f>
        <v>Leah Palmquist</v>
      </c>
      <c r="R19" s="1" t="str">
        <f ca="1">IFERROR(__xludf.DUMMYFUNCTION("""COMPUTED_VALUE"""),"Elite's Hallelujah")</f>
        <v>Elite's Hallelujah</v>
      </c>
      <c r="S19" s="1" t="str">
        <f ca="1">IFERROR(__xludf.DUMMYFUNCTION("""COMPUTED_VALUE"""),"Julie Brown")</f>
        <v>Julie Brown</v>
      </c>
    </row>
    <row r="20" spans="1:19" ht="15.75" customHeight="1" x14ac:dyDescent="0.2">
      <c r="A20" s="16"/>
      <c r="P20" s="1" t="str">
        <f ca="1">IFERROR(__xludf.DUMMYFUNCTION("""COMPUTED_VALUE"""),"Back Number")</f>
        <v>Back Number</v>
      </c>
      <c r="Q20" s="1" t="str">
        <f ca="1">IFERROR(__xludf.DUMMYFUNCTION("""COMPUTED_VALUE"""),"Rider 4 Name")</f>
        <v>Rider 4 Name</v>
      </c>
      <c r="R20" s="1" t="str">
        <f ca="1">IFERROR(__xludf.DUMMYFUNCTION("""COMPUTED_VALUE"""),"Horse Name")</f>
        <v>Horse Name</v>
      </c>
      <c r="S20" s="1" t="str">
        <f ca="1">IFERROR(__xludf.DUMMYFUNCTION("""COMPUTED_VALUE"""),"Owner")</f>
        <v>Owner</v>
      </c>
    </row>
    <row r="21" spans="1:19" ht="15.75" customHeight="1" x14ac:dyDescent="0.2">
      <c r="A21" s="16"/>
      <c r="P21" s="1" t="str">
        <f ca="1">IFERROR(__xludf.DUMMYFUNCTION("""COMPUTED_VALUE"""),"Back Number")</f>
        <v>Back Number</v>
      </c>
      <c r="Q21" s="1" t="str">
        <f ca="1">IFERROR(__xludf.DUMMYFUNCTION("""COMPUTED_VALUE"""),"Rider 5 Name")</f>
        <v>Rider 5 Name</v>
      </c>
      <c r="R21" s="1" t="str">
        <f ca="1">IFERROR(__xludf.DUMMYFUNCTION("""COMPUTED_VALUE"""),"Horse Name")</f>
        <v>Horse Name</v>
      </c>
      <c r="S21" s="1" t="str">
        <f ca="1">IFERROR(__xludf.DUMMYFUNCTION("""COMPUTED_VALUE"""),"Owner")</f>
        <v>Owner</v>
      </c>
    </row>
    <row r="22" spans="1:19" ht="15.75" customHeight="1" x14ac:dyDescent="0.2">
      <c r="A22" s="16"/>
      <c r="P22" s="1" t="str">
        <f ca="1">IFERROR(__xludf.DUMMYFUNCTION("""COMPUTED_VALUE"""),"Back Number")</f>
        <v>Back Number</v>
      </c>
      <c r="Q22" s="1" t="str">
        <f ca="1">IFERROR(__xludf.DUMMYFUNCTION("""COMPUTED_VALUE"""),"Rider 6 Name")</f>
        <v>Rider 6 Name</v>
      </c>
      <c r="R22" s="1" t="str">
        <f ca="1">IFERROR(__xludf.DUMMYFUNCTION("""COMPUTED_VALUE"""),"Horse Name")</f>
        <v>Horse Name</v>
      </c>
      <c r="S22" s="1" t="str">
        <f ca="1">IFERROR(__xludf.DUMMYFUNCTION("""COMPUTED_VALUE"""),"Owner")</f>
        <v>Owner</v>
      </c>
    </row>
    <row r="23" spans="1:19" ht="15.75" customHeight="1" x14ac:dyDescent="0.2">
      <c r="A23" s="16"/>
    </row>
    <row r="24" spans="1:19" ht="15.75" customHeight="1" x14ac:dyDescent="0.2">
      <c r="A24" s="16"/>
    </row>
    <row r="25" spans="1:19" ht="15.75" customHeight="1" x14ac:dyDescent="0.2">
      <c r="A25" s="16"/>
    </row>
    <row r="26" spans="1:19" ht="15.75" customHeight="1" x14ac:dyDescent="0.2">
      <c r="A26" s="16"/>
    </row>
    <row r="27" spans="1:19" ht="15.75" customHeight="1" x14ac:dyDescent="0.2">
      <c r="A27" s="16"/>
    </row>
    <row r="28" spans="1:19" ht="15.75" customHeight="1" x14ac:dyDescent="0.2">
      <c r="A28" s="16"/>
    </row>
    <row r="29" spans="1:19" ht="15.75" customHeight="1" x14ac:dyDescent="0.2">
      <c r="A29" s="16"/>
    </row>
    <row r="30" spans="1:19" ht="15.75" customHeight="1" x14ac:dyDescent="0.2">
      <c r="A30" s="16"/>
    </row>
    <row r="31" spans="1:19" ht="15.75" customHeight="1" x14ac:dyDescent="0.2">
      <c r="A31" s="16"/>
    </row>
    <row r="32" spans="1:19" ht="15.75" customHeight="1" x14ac:dyDescent="0.2">
      <c r="A32" s="16"/>
    </row>
    <row r="33" spans="1:1" ht="15.75" customHeight="1" x14ac:dyDescent="0.2">
      <c r="A33" s="16"/>
    </row>
    <row r="34" spans="1:1" ht="15.75" customHeight="1" x14ac:dyDescent="0.2">
      <c r="A34" s="16"/>
    </row>
    <row r="35" spans="1:1" ht="15.75" customHeight="1" x14ac:dyDescent="0.2">
      <c r="A35" s="16"/>
    </row>
    <row r="36" spans="1:1" ht="15.75" customHeight="1" x14ac:dyDescent="0.2">
      <c r="A36" s="16"/>
    </row>
    <row r="37" spans="1:1" ht="15.75" customHeight="1" x14ac:dyDescent="0.2">
      <c r="A37" s="16"/>
    </row>
    <row r="38" spans="1:1" ht="15.75" customHeight="1" x14ac:dyDescent="0.2">
      <c r="A38" s="16"/>
    </row>
    <row r="39" spans="1:1" ht="15.75" customHeight="1" x14ac:dyDescent="0.2">
      <c r="A39" s="16"/>
    </row>
    <row r="40" spans="1:1" ht="15.75" customHeight="1" x14ac:dyDescent="0.2">
      <c r="A40" s="16"/>
    </row>
    <row r="41" spans="1:1" ht="15.75" customHeight="1" x14ac:dyDescent="0.2">
      <c r="A41" s="16"/>
    </row>
    <row r="42" spans="1:1" ht="15.75" customHeight="1" x14ac:dyDescent="0.2">
      <c r="A42" s="16"/>
    </row>
    <row r="43" spans="1:1" ht="15.75" customHeight="1" x14ac:dyDescent="0.2">
      <c r="A43" s="16"/>
    </row>
    <row r="44" spans="1:1" ht="12.75" x14ac:dyDescent="0.2">
      <c r="A44" s="16"/>
    </row>
    <row r="45" spans="1:1" ht="12.75" x14ac:dyDescent="0.2">
      <c r="A45" s="16"/>
    </row>
    <row r="46" spans="1:1" ht="12.75" x14ac:dyDescent="0.2">
      <c r="A46" s="16"/>
    </row>
    <row r="47" spans="1:1" ht="12.75" x14ac:dyDescent="0.2">
      <c r="A47" s="16"/>
    </row>
    <row r="48" spans="1:1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  <pageSetUpPr fitToPage="1"/>
  </sheetPr>
  <dimension ref="A1:Z998"/>
  <sheetViews>
    <sheetView workbookViewId="0">
      <selection activeCell="N6" sqref="N6"/>
    </sheetView>
  </sheetViews>
  <sheetFormatPr defaultColWidth="12.5703125" defaultRowHeight="15.75" customHeight="1" x14ac:dyDescent="0.2"/>
  <cols>
    <col min="1" max="2" width="25.140625" customWidth="1"/>
    <col min="3" max="3" width="29.85546875" customWidth="1"/>
    <col min="4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29.45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1" t="s">
        <v>63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IFERROR(__xludf.DUMMYFUNCTION("QUERY(P2:S999,""SELECT * WHERE R IS NOT NULL AND R !='Horse Name' Order By P"")"),12)</f>
        <v>12</v>
      </c>
      <c r="B2" s="25" t="str">
        <f ca="1">IFERROR(__xludf.DUMMYFUNCTION("""COMPUTED_VALUE"""),"Chase Gordon")</f>
        <v>Chase Gordon</v>
      </c>
      <c r="C2" s="25" t="str">
        <f ca="1">IFERROR(__xludf.DUMMYFUNCTION("""COMPUTED_VALUE"""),"Jessica’s Sky’s The Limit")</f>
        <v>Jessica’s Sky’s The Limit</v>
      </c>
      <c r="D2" s="25" t="s">
        <v>194</v>
      </c>
      <c r="E2" s="25">
        <v>2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IFERROR(__xludf.DUMMYFUNCTION("""COMPUTED_VALUE"""),711)</f>
        <v>711</v>
      </c>
      <c r="Q2" s="25" t="str">
        <f ca="1">IFERROR(__xludf.DUMMYFUNCTION("""COMPUTED_VALUE"""),"Talon  Fox")</f>
        <v>Talon  Fox</v>
      </c>
      <c r="R2" s="25" t="str">
        <f ca="1">IFERROR(__xludf.DUMMYFUNCTION("""COMPUTED_VALUE"""),"Money in the Bank")</f>
        <v>Money in the Bank</v>
      </c>
      <c r="S2" s="25" t="str">
        <f ca="1">IFERROR(__xludf.DUMMYFUNCTION("""COMPUTED_VALUE"""),"Craig Tyler Moore")</f>
        <v>Craig Tyler Moore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IFERROR(__xludf.DUMMYFUNCTION("""COMPUTED_VALUE"""),119)</f>
        <v>119</v>
      </c>
      <c r="B3" s="25" t="str">
        <f ca="1">IFERROR(__xludf.DUMMYFUNCTION("""COMPUTED_VALUE"""),"Tyler Kilburn")</f>
        <v>Tyler Kilburn</v>
      </c>
      <c r="C3" s="25" t="str">
        <f ca="1">IFERROR(__xludf.DUMMYFUNCTION("""COMPUTED_VALUE"""),"Kilburns Holy Nightmare")</f>
        <v>Kilburns Holy Nightmare</v>
      </c>
      <c r="D3" s="25" t="str">
        <f ca="1">IFERROR(__xludf.DUMMYFUNCTION("""COMPUTED_VALUE"""),"Paul Kilburn")</f>
        <v>Paul Kilburn</v>
      </c>
      <c r="E3" s="25">
        <v>6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IFERROR(__xludf.DUMMYFUNCTION("""COMPUTED_VALUE"""),119)</f>
        <v>119</v>
      </c>
      <c r="Q3" s="25" t="str">
        <f ca="1">IFERROR(__xludf.DUMMYFUNCTION("""COMPUTED_VALUE"""),"Tyler Kilburn")</f>
        <v>Tyler Kilburn</v>
      </c>
      <c r="R3" s="25" t="str">
        <f ca="1">IFERROR(__xludf.DUMMYFUNCTION("""COMPUTED_VALUE"""),"Kilburns Holy Nightmare")</f>
        <v>Kilburns Holy Nightmare</v>
      </c>
      <c r="S3" s="25" t="str">
        <f ca="1">IFERROR(__xludf.DUMMYFUNCTION("""COMPUTED_VALUE"""),"Paul Kilburn")</f>
        <v>Paul Kilburn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IFERROR(__xludf.DUMMYFUNCTION("""COMPUTED_VALUE"""),247)</f>
        <v>247</v>
      </c>
      <c r="B4" s="25" t="str">
        <f ca="1">IFERROR(__xludf.DUMMYFUNCTION("""COMPUTED_VALUE"""),"Kelsey Howell")</f>
        <v>Kelsey Howell</v>
      </c>
      <c r="C4" s="25" t="str">
        <f ca="1">IFERROR(__xludf.DUMMYFUNCTION("""COMPUTED_VALUE"""),"Sub Zero")</f>
        <v>Sub Zero</v>
      </c>
      <c r="D4" s="25" t="str">
        <f ca="1">IFERROR(__xludf.DUMMYFUNCTION("""COMPUTED_VALUE"""),"Kelsey Howell")</f>
        <v>Kelsey Howell</v>
      </c>
      <c r="E4" s="25">
        <v>7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IFERROR(__xludf.DUMMYFUNCTION("""COMPUTED_VALUE"""),247)</f>
        <v>247</v>
      </c>
      <c r="Q4" s="25" t="str">
        <f ca="1">IFERROR(__xludf.DUMMYFUNCTION("""COMPUTED_VALUE"""),"Kelsey Howell")</f>
        <v>Kelsey Howell</v>
      </c>
      <c r="R4" s="25" t="str">
        <f ca="1">IFERROR(__xludf.DUMMYFUNCTION("""COMPUTED_VALUE"""),"Sub Zero")</f>
        <v>Sub Zero</v>
      </c>
      <c r="S4" s="25" t="str">
        <f ca="1">IFERROR(__xludf.DUMMYFUNCTION("""COMPUTED_VALUE"""),"Kelsey Howell")</f>
        <v>Kelsey Howell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IFERROR(__xludf.DUMMYFUNCTION("""COMPUTED_VALUE"""),546)</f>
        <v>546</v>
      </c>
      <c r="B5" s="25" t="str">
        <f ca="1">IFERROR(__xludf.DUMMYFUNCTION("""COMPUTED_VALUE"""),"Justin Stefanic")</f>
        <v>Justin Stefanic</v>
      </c>
      <c r="C5" s="25" t="str">
        <f ca="1">IFERROR(__xludf.DUMMYFUNCTION("""COMPUTED_VALUE"""),"Felony Melony")</f>
        <v>Felony Melony</v>
      </c>
      <c r="D5" s="25" t="str">
        <f ca="1">IFERROR(__xludf.DUMMYFUNCTION("""COMPUTED_VALUE"""),"Hannah Stefanic")</f>
        <v>Hannah Stefanic</v>
      </c>
      <c r="E5" s="25">
        <v>3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IFERROR(__xludf.DUMMYFUNCTION("""COMPUTED_VALUE"""),575)</f>
        <v>575</v>
      </c>
      <c r="Q5" s="25" t="str">
        <f ca="1">IFERROR(__xludf.DUMMYFUNCTION("""COMPUTED_VALUE"""),"Karter Alexander")</f>
        <v>Karter Alexander</v>
      </c>
      <c r="R5" s="25" t="str">
        <f ca="1">IFERROR(__xludf.DUMMYFUNCTION("""COMPUTED_VALUE"""),"Rip Stone Joe")</f>
        <v>Rip Stone Joe</v>
      </c>
      <c r="S5" s="25" t="str">
        <f ca="1">IFERROR(__xludf.DUMMYFUNCTION("""COMPUTED_VALUE"""),"Melissa Alexander")</f>
        <v>Melissa Alexander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IFERROR(__xludf.DUMMYFUNCTION("""COMPUTED_VALUE"""),575)</f>
        <v>575</v>
      </c>
      <c r="B6" s="25" t="str">
        <f ca="1">IFERROR(__xludf.DUMMYFUNCTION("""COMPUTED_VALUE"""),"Karter Alexander")</f>
        <v>Karter Alexander</v>
      </c>
      <c r="C6" s="25" t="str">
        <f ca="1">IFERROR(__xludf.DUMMYFUNCTION("""COMPUTED_VALUE"""),"Rip Stone Joe")</f>
        <v>Rip Stone Joe</v>
      </c>
      <c r="D6" s="25" t="str">
        <f ca="1">IFERROR(__xludf.DUMMYFUNCTION("""COMPUTED_VALUE"""),"Melissa Alexander")</f>
        <v>Melissa Alexander</v>
      </c>
      <c r="E6" s="25">
        <v>4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IFERROR(__xludf.DUMMYFUNCTION("""COMPUTED_VALUE"""),12)</f>
        <v>12</v>
      </c>
      <c r="Q6" s="25" t="str">
        <f ca="1">IFERROR(__xludf.DUMMYFUNCTION("""COMPUTED_VALUE"""),"Chase Gordon")</f>
        <v>Chase Gordon</v>
      </c>
      <c r="R6" s="25" t="str">
        <f ca="1">IFERROR(__xludf.DUMMYFUNCTION("""COMPUTED_VALUE"""),"Jessica’s Sky’s The Limit")</f>
        <v>Jessica’s Sky’s The Limit</v>
      </c>
      <c r="S6" s="25" t="str">
        <f ca="1">IFERROR(__xludf.DUMMYFUNCTION("""COMPUTED_VALUE"""),"Jessica Bredrer")</f>
        <v>Jessica Bredrer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IFERROR(__xludf.DUMMYFUNCTION("""COMPUTED_VALUE"""),700)</f>
        <v>700</v>
      </c>
      <c r="B7" s="25" t="str">
        <f ca="1">IFERROR(__xludf.DUMMYFUNCTION("""COMPUTED_VALUE"""),"Ruby DeAtley")</f>
        <v>Ruby DeAtley</v>
      </c>
      <c r="C7" s="25" t="str">
        <f ca="1">IFERROR(__xludf.DUMMYFUNCTION("""COMPUTED_VALUE"""),"DHS's Diamond Broker")</f>
        <v>DHS's Diamond Broker</v>
      </c>
      <c r="D7" s="25" t="str">
        <f ca="1">IFERROR(__xludf.DUMMYFUNCTION("""COMPUTED_VALUE"""),"Melisse Sharkey")</f>
        <v>Melisse Sharkey</v>
      </c>
      <c r="E7" s="25">
        <v>5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IFERROR(__xludf.DUMMYFUNCTION("""COMPUTED_VALUE"""),546)</f>
        <v>546</v>
      </c>
      <c r="Q7" s="25" t="str">
        <f ca="1">IFERROR(__xludf.DUMMYFUNCTION("""COMPUTED_VALUE"""),"Justin Stefanic")</f>
        <v>Justin Stefanic</v>
      </c>
      <c r="R7" s="25" t="str">
        <f ca="1">IFERROR(__xludf.DUMMYFUNCTION("""COMPUTED_VALUE"""),"Felony Melony")</f>
        <v>Felony Melony</v>
      </c>
      <c r="S7" s="25" t="str">
        <f ca="1">IFERROR(__xludf.DUMMYFUNCTION("""COMPUTED_VALUE"""),"Hannah Stefanic")</f>
        <v>Hannah Stefanic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>
        <f ca="1">IFERROR(__xludf.DUMMYFUNCTION("""COMPUTED_VALUE"""),711)</f>
        <v>711</v>
      </c>
      <c r="B8" s="25" t="str">
        <f ca="1">IFERROR(__xludf.DUMMYFUNCTION("""COMPUTED_VALUE"""),"Talon  Fox")</f>
        <v>Talon  Fox</v>
      </c>
      <c r="C8" s="25" t="str">
        <f ca="1">IFERROR(__xludf.DUMMYFUNCTION("""COMPUTED_VALUE"""),"Money in the Bank")</f>
        <v>Money in the Bank</v>
      </c>
      <c r="D8" s="25" t="str">
        <f ca="1">IFERROR(__xludf.DUMMYFUNCTION("""COMPUTED_VALUE"""),"Craig Tyler Moore")</f>
        <v>Craig Tyler Moore</v>
      </c>
      <c r="E8" s="25">
        <v>1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2 Name")</f>
        <v>Rider 2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IFERROR(__xludf.DUMMYFUNCTION("""COMPUTED_VALUE"""),700)</f>
        <v>700</v>
      </c>
      <c r="Q9" s="25" t="str">
        <f ca="1">IFERROR(__xludf.DUMMYFUNCTION("""COMPUTED_VALUE"""),"Ruby DeAtley")</f>
        <v>Ruby DeAtley</v>
      </c>
      <c r="R9" s="25" t="str">
        <f ca="1">IFERROR(__xludf.DUMMYFUNCTION("""COMPUTED_VALUE"""),"DHS's Diamond Broker")</f>
        <v>DHS's Diamond Broker</v>
      </c>
      <c r="S9" s="25" t="str">
        <f ca="1">IFERROR(__xludf.DUMMYFUNCTION("""COMPUTED_VALUE"""),"Melisse Sharkey")</f>
        <v>Melisse Sharkey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3 Name")</f>
        <v>Rider 3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>
        <v>0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5 Name")</f>
        <v>Rider 5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6 Name")</f>
        <v>Rider 6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 x14ac:dyDescent="0.25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5.75" customHeight="1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  <pageSetUpPr fitToPage="1"/>
  </sheetPr>
  <dimension ref="A1:Z999"/>
  <sheetViews>
    <sheetView workbookViewId="0">
      <selection activeCell="N3" sqref="N3"/>
    </sheetView>
  </sheetViews>
  <sheetFormatPr defaultColWidth="12.5703125" defaultRowHeight="15.75" customHeight="1" x14ac:dyDescent="0.2"/>
  <cols>
    <col min="1" max="2" width="25.140625" customWidth="1"/>
    <col min="3" max="3" width="33.28515625" customWidth="1"/>
    <col min="4" max="4" width="26" customWidth="1"/>
    <col min="5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29.45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42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IFERROR(__xludf.DUMMYFUNCTION("QUERY(P2:S1000,""SELECT * WHERE R IS NOT NULL AND R !='Horse Name' Order By P"")"),243)</f>
        <v>243</v>
      </c>
      <c r="B2" s="25" t="str">
        <f ca="1">IFERROR(__xludf.DUMMYFUNCTION("""COMPUTED_VALUE"""),"Tana Wells")</f>
        <v>Tana Wells</v>
      </c>
      <c r="C2" s="25" t="str">
        <f ca="1">IFERROR(__xludf.DUMMYFUNCTION("""COMPUTED_VALUE"""),"SHS Bizarre Addiction")</f>
        <v>SHS Bizarre Addiction</v>
      </c>
      <c r="D2" s="25" t="str">
        <f ca="1">IFERROR(__xludf.DUMMYFUNCTION("""COMPUTED_VALUE"""),"Melissa Walters")</f>
        <v>Melissa Walters</v>
      </c>
      <c r="E2" s="25">
        <v>5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IFERROR(__xludf.DUMMYFUNCTION("""COMPUTED_VALUE"""),404)</f>
        <v>404</v>
      </c>
      <c r="Q2" s="25" t="str">
        <f ca="1">IFERROR(__xludf.DUMMYFUNCTION("""COMPUTED_VALUE"""),"Amanda Gooch")</f>
        <v>Amanda Gooch</v>
      </c>
      <c r="R2" s="25" t="str">
        <f ca="1">IFERROR(__xludf.DUMMYFUNCTION("""COMPUTED_VALUE"""),"Rythym's Belle Bottom Blues")</f>
        <v>Rythym's Belle Bottom Blues</v>
      </c>
      <c r="S2" s="25" t="str">
        <f ca="1">IFERROR(__xludf.DUMMYFUNCTION("""COMPUTED_VALUE"""),"Amanda Gooch")</f>
        <v>Amanda Gooch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IFERROR(__xludf.DUMMYFUNCTION("""COMPUTED_VALUE"""),404)</f>
        <v>404</v>
      </c>
      <c r="B3" s="25" t="str">
        <f ca="1">IFERROR(__xludf.DUMMYFUNCTION("""COMPUTED_VALUE"""),"Amanda Gooch")</f>
        <v>Amanda Gooch</v>
      </c>
      <c r="C3" s="25" t="str">
        <f ca="1">IFERROR(__xludf.DUMMYFUNCTION("""COMPUTED_VALUE"""),"Rythym's Belle Bottom Blues")</f>
        <v>Rythym's Belle Bottom Blues</v>
      </c>
      <c r="D3" s="25" t="str">
        <f ca="1">IFERROR(__xludf.DUMMYFUNCTION("""COMPUTED_VALUE"""),"Amanda Gooch")</f>
        <v>Amanda Gooch</v>
      </c>
      <c r="E3" s="25">
        <v>6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IFERROR(__xludf.DUMMYFUNCTION("""COMPUTED_VALUE"""),243)</f>
        <v>243</v>
      </c>
      <c r="Q3" s="25" t="str">
        <f ca="1">IFERROR(__xludf.DUMMYFUNCTION("""COMPUTED_VALUE"""),"Tana Wells")</f>
        <v>Tana Wells</v>
      </c>
      <c r="R3" s="25" t="str">
        <f ca="1">IFERROR(__xludf.DUMMYFUNCTION("""COMPUTED_VALUE"""),"SHS Bizarre Addiction")</f>
        <v>SHS Bizarre Addiction</v>
      </c>
      <c r="S3" s="25" t="str">
        <f ca="1">IFERROR(__xludf.DUMMYFUNCTION("""COMPUTED_VALUE"""),"Melissa Walters")</f>
        <v>Melissa Walters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IFERROR(__xludf.DUMMYFUNCTION("""COMPUTED_VALUE"""),620)</f>
        <v>620</v>
      </c>
      <c r="B4" s="25" t="str">
        <f ca="1">IFERROR(__xludf.DUMMYFUNCTION("""COMPUTED_VALUE"""),"Sharma Brown")</f>
        <v>Sharma Brown</v>
      </c>
      <c r="C4" s="25" t="str">
        <f ca="1">IFERROR(__xludf.DUMMYFUNCTION("""COMPUTED_VALUE"""),"RHF Windswept")</f>
        <v>RHF Windswept</v>
      </c>
      <c r="D4" s="25" t="str">
        <f ca="1">IFERROR(__xludf.DUMMYFUNCTION("""COMPUTED_VALUE"""),"Sharma Brown")</f>
        <v>Sharma Brown</v>
      </c>
      <c r="E4" s="25">
        <v>1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IFERROR(__xludf.DUMMYFUNCTION("""COMPUTED_VALUE"""),621)</f>
        <v>621</v>
      </c>
      <c r="Q4" s="25" t="str">
        <f ca="1">IFERROR(__xludf.DUMMYFUNCTION("""COMPUTED_VALUE"""),"McKayla Hill")</f>
        <v>McKayla Hill</v>
      </c>
      <c r="R4" s="25" t="str">
        <f ca="1">IFERROR(__xludf.DUMMYFUNCTION("""COMPUTED_VALUE"""),"EHR She Wears Prada")</f>
        <v>EHR She Wears Prada</v>
      </c>
      <c r="S4" s="25" t="str">
        <f ca="1">IFERROR(__xludf.DUMMYFUNCTION("""COMPUTED_VALUE"""),"Nicole Jones")</f>
        <v>Nicole Jones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IFERROR(__xludf.DUMMYFUNCTION("""COMPUTED_VALUE"""),621)</f>
        <v>621</v>
      </c>
      <c r="B5" s="25" t="str">
        <f ca="1">IFERROR(__xludf.DUMMYFUNCTION("""COMPUTED_VALUE"""),"McKayla Hill")</f>
        <v>McKayla Hill</v>
      </c>
      <c r="C5" s="25" t="str">
        <f ca="1">IFERROR(__xludf.DUMMYFUNCTION("""COMPUTED_VALUE"""),"EHR She Wears Prada")</f>
        <v>EHR She Wears Prada</v>
      </c>
      <c r="D5" s="25" t="str">
        <f ca="1">IFERROR(__xludf.DUMMYFUNCTION("""COMPUTED_VALUE"""),"Nicole Jones")</f>
        <v>Nicole Jones</v>
      </c>
      <c r="E5" s="25">
        <v>2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IFERROR(__xludf.DUMMYFUNCTION("""COMPUTED_VALUE"""),620)</f>
        <v>620</v>
      </c>
      <c r="Q5" s="25" t="str">
        <f ca="1">IFERROR(__xludf.DUMMYFUNCTION("""COMPUTED_VALUE"""),"Sharma Brown")</f>
        <v>Sharma Brown</v>
      </c>
      <c r="R5" s="25" t="str">
        <f ca="1">IFERROR(__xludf.DUMMYFUNCTION("""COMPUTED_VALUE"""),"RHF Windswept")</f>
        <v>RHF Windswept</v>
      </c>
      <c r="S5" s="25" t="str">
        <f ca="1">IFERROR(__xludf.DUMMYFUNCTION("""COMPUTED_VALUE"""),"Sharma Brown")</f>
        <v>Sharma Brown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IFERROR(__xludf.DUMMYFUNCTION("""COMPUTED_VALUE"""),890)</f>
        <v>890</v>
      </c>
      <c r="B6" s="25" t="str">
        <f ca="1">IFERROR(__xludf.DUMMYFUNCTION("""COMPUTED_VALUE"""),"Rebecca taylor")</f>
        <v>Rebecca taylor</v>
      </c>
      <c r="C6" s="25" t="str">
        <f ca="1">IFERROR(__xludf.DUMMYFUNCTION("""COMPUTED_VALUE"""),"LBF One Fancy Lady")</f>
        <v>LBF One Fancy Lady</v>
      </c>
      <c r="D6" s="25" t="str">
        <f ca="1">IFERROR(__xludf.DUMMYFUNCTION("""COMPUTED_VALUE"""),"Rebecca Taylor")</f>
        <v>Rebecca Taylor</v>
      </c>
      <c r="E6" s="25">
        <v>3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IFERROR(__xludf.DUMMYFUNCTION("""COMPUTED_VALUE"""),890)</f>
        <v>890</v>
      </c>
      <c r="Q6" s="25" t="str">
        <f ca="1">IFERROR(__xludf.DUMMYFUNCTION("""COMPUTED_VALUE"""),"Rebecca taylor")</f>
        <v>Rebecca taylor</v>
      </c>
      <c r="R6" s="25" t="str">
        <f ca="1">IFERROR(__xludf.DUMMYFUNCTION("""COMPUTED_VALUE"""),"LBF One Fancy Lady")</f>
        <v>LBF One Fancy Lady</v>
      </c>
      <c r="S6" s="25" t="str">
        <f ca="1">IFERROR(__xludf.DUMMYFUNCTION("""COMPUTED_VALUE"""),"Rebecca Taylor")</f>
        <v>Rebecca Taylor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IFERROR(__xludf.DUMMYFUNCTION("""COMPUTED_VALUE"""),920)</f>
        <v>920</v>
      </c>
      <c r="B7" s="25" t="str">
        <f ca="1">IFERROR(__xludf.DUMMYFUNCTION("""COMPUTED_VALUE"""),"Jennifer Flannery-Hall")</f>
        <v>Jennifer Flannery-Hall</v>
      </c>
      <c r="C7" s="25" t="str">
        <f ca="1">IFERROR(__xludf.DUMMYFUNCTION("""COMPUTED_VALUE"""),"HMH Secrets N the Moonlight")</f>
        <v>HMH Secrets N the Moonlight</v>
      </c>
      <c r="D7" s="25" t="str">
        <f ca="1">IFERROR(__xludf.DUMMYFUNCTION("""COMPUTED_VALUE"""),"Derek Vance")</f>
        <v>Derek Vance</v>
      </c>
      <c r="E7" s="25">
        <v>4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2 Name")</f>
        <v>Rider 2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IFERROR(__xludf.DUMMYFUNCTION("""COMPUTED_VALUE"""),920)</f>
        <v>920</v>
      </c>
      <c r="Q8" s="25" t="str">
        <f ca="1">IFERROR(__xludf.DUMMYFUNCTION("""COMPUTED_VALUE"""),"Jennifer Flannery-Hall")</f>
        <v>Jennifer Flannery-Hall</v>
      </c>
      <c r="R8" s="25" t="str">
        <f ca="1">IFERROR(__xludf.DUMMYFUNCTION("""COMPUTED_VALUE"""),"HMH Secrets N the Moonlight")</f>
        <v>HMH Secrets N the Moonlight</v>
      </c>
      <c r="S8" s="25" t="str">
        <f ca="1">IFERROR(__xludf.DUMMYFUNCTION("""COMPUTED_VALUE"""),"Derek Vance")</f>
        <v>Derek Vance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4 Name")</f>
        <v>Rider 4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5 Name")</f>
        <v>Rider 5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6 Name")</f>
        <v>Rider 6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35">
      <c r="A12" s="26"/>
      <c r="B12" s="27"/>
      <c r="C12" s="27"/>
      <c r="D12" s="27"/>
      <c r="E12" s="27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 x14ac:dyDescent="0.25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5.75" customHeight="1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  <row r="999" spans="1:1" ht="12.75" x14ac:dyDescent="0.2">
      <c r="A999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  <pageSetUpPr fitToPage="1"/>
  </sheetPr>
  <dimension ref="A1:Z40"/>
  <sheetViews>
    <sheetView workbookViewId="0">
      <selection activeCell="N1" sqref="N1"/>
    </sheetView>
  </sheetViews>
  <sheetFormatPr defaultColWidth="12.5703125" defaultRowHeight="15.75" customHeight="1" x14ac:dyDescent="0.2"/>
  <cols>
    <col min="1" max="2" width="25.140625" customWidth="1"/>
    <col min="3" max="3" width="31.42578125" customWidth="1"/>
    <col min="4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0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197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P"")"),"110")</f>
        <v>110</v>
      </c>
      <c r="B2" s="25" t="str">
        <f ca="1">IFERROR(__xludf.DUMMYFUNCTION("""COMPUTED_VALUE"""),"Mikie Bowen")</f>
        <v>Mikie Bowen</v>
      </c>
      <c r="C2" s="25" t="str">
        <f ca="1">IFERROR(__xludf.DUMMYFUNCTION("""COMPUTED_VALUE"""),"JS Pistol Annie")</f>
        <v>JS Pistol Annie</v>
      </c>
      <c r="D2" s="25" t="str">
        <f ca="1">IFERROR(__xludf.DUMMYFUNCTION("""COMPUTED_VALUE"""),"John &amp; Kim Stivers")</f>
        <v>John &amp; Kim Stivers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IFERROR(__xludf.DUMMYFUNCTION("""COMPUTED_VALUE"""),110)</f>
        <v>110</v>
      </c>
      <c r="Q2" s="25" t="str">
        <f ca="1">IFERROR(__xludf.DUMMYFUNCTION("""COMPUTED_VALUE"""),"Mikie Bowen")</f>
        <v>Mikie Bowen</v>
      </c>
      <c r="R2" s="25" t="str">
        <f ca="1">IFERROR(__xludf.DUMMYFUNCTION("""COMPUTED_VALUE"""),"JS Pistol Annie")</f>
        <v>JS Pistol Annie</v>
      </c>
      <c r="S2" s="25" t="str">
        <f ca="1">IFERROR(__xludf.DUMMYFUNCTION("""COMPUTED_VALUE"""),"John &amp; Kim Stivers")</f>
        <v>John &amp; Kim Stivers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IFERROR(__xludf.DUMMYFUNCTION("""COMPUTED_VALUE"""),"110.1")</f>
        <v>110.1</v>
      </c>
      <c r="B3" s="25" t="str">
        <f ca="1">IFERROR(__xludf.DUMMYFUNCTION("""COMPUTED_VALUE"""),"Charlie DeAtley")</f>
        <v>Charlie DeAtley</v>
      </c>
      <c r="C3" s="25" t="str">
        <f ca="1">IFERROR(__xludf.DUMMYFUNCTION("""COMPUTED_VALUE"""),"Silver's Diamond Dollar")</f>
        <v>Silver's Diamond Dollar</v>
      </c>
      <c r="D3" s="25" t="str">
        <f ca="1">IFERROR(__xludf.DUMMYFUNCTION("""COMPUTED_VALUE"""),"Julia Tucker")</f>
        <v>Julia Tucker</v>
      </c>
      <c r="E3" s="25">
        <v>3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IFERROR(__xludf.DUMMYFUNCTION("""COMPUTED_VALUE"""),161)</f>
        <v>161</v>
      </c>
      <c r="Q3" s="25" t="str">
        <f ca="1">IFERROR(__xludf.DUMMYFUNCTION("""COMPUTED_VALUE"""),"Ashley Hanson")</f>
        <v>Ashley Hanson</v>
      </c>
      <c r="R3" s="25" t="str">
        <f ca="1">IFERROR(__xludf.DUMMYFUNCTION("""COMPUTED_VALUE"""),"DNS Shes Stepping Out")</f>
        <v>DNS Shes Stepping Out</v>
      </c>
      <c r="S3" s="25" t="str">
        <f ca="1">IFERROR(__xludf.DUMMYFUNCTION("""COMPUTED_VALUE"""),"Markeeta Moore")</f>
        <v>Markeeta Moore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 t="str">
        <f ca="1">IFERROR(__xludf.DUMMYFUNCTION("""COMPUTED_VALUE"""),"161")</f>
        <v>161</v>
      </c>
      <c r="B4" s="25" t="s">
        <v>158</v>
      </c>
      <c r="C4" s="25" t="str">
        <f ca="1">IFERROR(__xludf.DUMMYFUNCTION("""COMPUTED_VALUE"""),"DNS Shes Stepping Out")</f>
        <v>DNS Shes Stepping Out</v>
      </c>
      <c r="D4" s="25" t="str">
        <f ca="1">IFERROR(__xludf.DUMMYFUNCTION("""COMPUTED_VALUE"""),"Markeeta Moore")</f>
        <v>Markeeta Moore</v>
      </c>
      <c r="E4" s="25">
        <v>4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IFERROR(__xludf.DUMMYFUNCTION("""COMPUTED_VALUE"""),897)</f>
        <v>897</v>
      </c>
      <c r="Q4" s="25" t="str">
        <f ca="1">IFERROR(__xludf.DUMMYFUNCTION("""COMPUTED_VALUE"""),"John Flynn")</f>
        <v>John Flynn</v>
      </c>
      <c r="R4" s="25" t="str">
        <f ca="1">IFERROR(__xludf.DUMMYFUNCTION("""COMPUTED_VALUE"""),"On The Edge")</f>
        <v>On The Edge</v>
      </c>
      <c r="S4" s="25" t="str">
        <f ca="1">IFERROR(__xludf.DUMMYFUNCTION("""COMPUTED_VALUE"""),"John Flynn")</f>
        <v>John Flynn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 t="str">
        <f ca="1">IFERROR(__xludf.DUMMYFUNCTION("""COMPUTED_VALUE"""),"897")</f>
        <v>897</v>
      </c>
      <c r="B5" s="25" t="str">
        <f ca="1">IFERROR(__xludf.DUMMYFUNCTION("""COMPUTED_VALUE"""),"John Flynn")</f>
        <v>John Flynn</v>
      </c>
      <c r="C5" s="25" t="str">
        <f ca="1">IFERROR(__xludf.DUMMYFUNCTION("""COMPUTED_VALUE"""),"On The Edge")</f>
        <v>On The Edge</v>
      </c>
      <c r="D5" s="25" t="str">
        <f ca="1">IFERROR(__xludf.DUMMYFUNCTION("""COMPUTED_VALUE"""),"John Flynn")</f>
        <v>John Flynn</v>
      </c>
      <c r="E5" s="25">
        <v>2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IFERROR(__xludf.DUMMYFUNCTION("""COMPUTED_VALUE"""),110.1)</f>
        <v>110.1</v>
      </c>
      <c r="Q5" s="25" t="str">
        <f ca="1">IFERROR(__xludf.DUMMYFUNCTION("""COMPUTED_VALUE"""),"Charlie DeAtley")</f>
        <v>Charlie DeAtley</v>
      </c>
      <c r="R5" s="25" t="str">
        <f ca="1">IFERROR(__xludf.DUMMYFUNCTION("""COMPUTED_VALUE"""),"Silver's Diamond Dollar")</f>
        <v>Silver's Diamond Dollar</v>
      </c>
      <c r="S5" s="25" t="str">
        <f ca="1">IFERROR(__xludf.DUMMYFUNCTION("""COMPUTED_VALUE"""),"Julia Tucker")</f>
        <v>Julia Tucker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2 Name")</f>
        <v>Rider 2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4 Name")</f>
        <v>Rider 4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5 Name")</f>
        <v>Rider 5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6 Name")</f>
        <v>Rider 6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 summaryRight="0"/>
    <pageSetUpPr fitToPage="1"/>
  </sheetPr>
  <dimension ref="A1:Z997"/>
  <sheetViews>
    <sheetView topLeftCell="B1" workbookViewId="0">
      <selection activeCell="N5" sqref="N5"/>
    </sheetView>
  </sheetViews>
  <sheetFormatPr defaultColWidth="12.5703125" defaultRowHeight="15.75" customHeight="1" x14ac:dyDescent="0.2"/>
  <cols>
    <col min="1" max="2" width="25.140625" customWidth="1"/>
    <col min="3" max="3" width="37.42578125" customWidth="1"/>
    <col min="4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29.45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198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IFERROR(__xludf.DUMMYFUNCTION("""COMPUTED_VALUE"""),106)</f>
        <v>106</v>
      </c>
      <c r="B2" s="25" t="str">
        <f ca="1">IFERROR(__xludf.DUMMYFUNCTION("""COMPUTED_VALUE"""),"Derick Tipton")</f>
        <v>Derick Tipton</v>
      </c>
      <c r="C2" s="25" t="str">
        <f ca="1">IFERROR(__xludf.DUMMYFUNCTION("""COMPUTED_VALUE"""),"Hell of Heels")</f>
        <v>Hell of Heels</v>
      </c>
      <c r="D2" s="25" t="str">
        <f ca="1">IFERROR(__xludf.DUMMYFUNCTION("""COMPUTED_VALUE"""),"John &amp; Kim Stivers")</f>
        <v>John &amp; Kim Stivers</v>
      </c>
      <c r="E2" s="25">
        <v>2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IFERROR(__xludf.DUMMYFUNCTION("""COMPUTED_VALUE"""),106)</f>
        <v>106</v>
      </c>
      <c r="Q2" s="25" t="str">
        <f ca="1">IFERROR(__xludf.DUMMYFUNCTION("""COMPUTED_VALUE"""),"John Stivers")</f>
        <v>John Stivers</v>
      </c>
      <c r="R2" s="25" t="str">
        <f ca="1">IFERROR(__xludf.DUMMYFUNCTION("""COMPUTED_VALUE"""),"Hell of Heels")</f>
        <v>Hell of Heels</v>
      </c>
      <c r="S2" s="25" t="str">
        <f ca="1">IFERROR(__xludf.DUMMYFUNCTION("""COMPUTED_VALUE"""),"John &amp; Kim Stivers")</f>
        <v>John &amp; Kim Stivers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IFERROR(__xludf.DUMMYFUNCTION("""COMPUTED_VALUE"""),116)</f>
        <v>116</v>
      </c>
      <c r="B3" s="25" t="str">
        <f ca="1">IFERROR(__xludf.DUMMYFUNCTION("""COMPUTED_VALUE"""),"Mary Kelley Tucker")</f>
        <v>Mary Kelley Tucker</v>
      </c>
      <c r="C3" s="25" t="str">
        <f ca="1">IFERROR(__xludf.DUMMYFUNCTION("""COMPUTED_VALUE"""),"B &amp; T's Slamma Jamma")</f>
        <v>B &amp; T's Slamma Jamma</v>
      </c>
      <c r="D3" s="25" t="str">
        <f ca="1">IFERROR(__xludf.DUMMYFUNCTION("""COMPUTED_VALUE"""),"Brenda Watson")</f>
        <v>Brenda Watson</v>
      </c>
      <c r="E3" s="25">
        <v>3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IFERROR(__xludf.DUMMYFUNCTION("""COMPUTED_VALUE"""),480)</f>
        <v>480</v>
      </c>
      <c r="Q3" s="25" t="str">
        <f ca="1">IFERROR(__xludf.DUMMYFUNCTION("""COMPUTED_VALUE"""),"John Rose")</f>
        <v>John Rose</v>
      </c>
      <c r="R3" s="25" t="str">
        <f ca="1">IFERROR(__xludf.DUMMYFUNCTION("""COMPUTED_VALUE"""),"Sassy But Still Classy")</f>
        <v>Sassy But Still Classy</v>
      </c>
      <c r="S3" s="25" t="str">
        <f ca="1">IFERROR(__xludf.DUMMYFUNCTION("""COMPUTED_VALUE"""),"Tony &amp; Sally Hurt")</f>
        <v>Tony &amp; Sally Hurt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IFERROR(__xludf.DUMMYFUNCTION("""COMPUTED_VALUE"""),188)</f>
        <v>188</v>
      </c>
      <c r="B4" s="25" t="str">
        <f ca="1">IFERROR(__xludf.DUMMYFUNCTION("""COMPUTED_VALUE"""),"Chastity Adkins")</f>
        <v>Chastity Adkins</v>
      </c>
      <c r="C4" s="25" t="str">
        <f ca="1">IFERROR(__xludf.DUMMYFUNCTION("""COMPUTED_VALUE"""),"Elixir's Juliet")</f>
        <v>Elixir's Juliet</v>
      </c>
      <c r="D4" s="25" t="str">
        <f ca="1">IFERROR(__xludf.DUMMYFUNCTION("""COMPUTED_VALUE"""),"Lisa Nicarry")</f>
        <v>Lisa Nicarry</v>
      </c>
      <c r="E4" s="25">
        <v>5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IFERROR(__xludf.DUMMYFUNCTION("""COMPUTED_VALUE"""),645)</f>
        <v>645</v>
      </c>
      <c r="Q4" s="25" t="str">
        <f ca="1">IFERROR(__xludf.DUMMYFUNCTION("""COMPUTED_VALUE"""),"Amy Stefanic")</f>
        <v>Amy Stefanic</v>
      </c>
      <c r="R4" s="25" t="str">
        <f ca="1">IFERROR(__xludf.DUMMYFUNCTION("""COMPUTED_VALUE"""),"GWF Sugar N Spice")</f>
        <v>GWF Sugar N Spice</v>
      </c>
      <c r="S4" s="25" t="str">
        <f ca="1">IFERROR(__xludf.DUMMYFUNCTION("""COMPUTED_VALUE"""),"Jeff &amp; Mary AnnMars")</f>
        <v>Jeff &amp; Mary AnnMars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IFERROR(__xludf.DUMMYFUNCTION("""COMPUTED_VALUE"""),244)</f>
        <v>244</v>
      </c>
      <c r="B5" s="25" t="str">
        <f ca="1">IFERROR(__xludf.DUMMYFUNCTION("""COMPUTED_VALUE"""),"Tana Wells")</f>
        <v>Tana Wells</v>
      </c>
      <c r="C5" s="25" t="str">
        <f ca="1">IFERROR(__xludf.DUMMYFUNCTION("""COMPUTED_VALUE"""),"SHS Camdyns Blue Belle")</f>
        <v>SHS Camdyns Blue Belle</v>
      </c>
      <c r="D5" s="25" t="str">
        <f ca="1">IFERROR(__xludf.DUMMYFUNCTION("""COMPUTED_VALUE"""),"Melissa Walters")</f>
        <v>Melissa Walters</v>
      </c>
      <c r="E5" s="25">
        <v>9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IFERROR(__xludf.DUMMYFUNCTION("""COMPUTED_VALUE"""),385)</f>
        <v>385</v>
      </c>
      <c r="Q5" s="25" t="str">
        <f ca="1">IFERROR(__xludf.DUMMYFUNCTION("""COMPUTED_VALUE"""),"Monée Hollingsworth")</f>
        <v>Monée Hollingsworth</v>
      </c>
      <c r="R5" s="25" t="str">
        <f ca="1">IFERROR(__xludf.DUMMYFUNCTION("""COMPUTED_VALUE"""),"3BF Midnight Lane")</f>
        <v>3BF Midnight Lane</v>
      </c>
      <c r="S5" s="25" t="str">
        <f ca="1">IFERROR(__xludf.DUMMYFUNCTION("""COMPUTED_VALUE"""),"Ronn &amp; Beverly Pelfrey ")</f>
        <v xml:space="preserve">Ronn &amp; Beverly Pelfrey 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IFERROR(__xludf.DUMMYFUNCTION("""COMPUTED_VALUE"""),385)</f>
        <v>385</v>
      </c>
      <c r="B6" s="25" t="str">
        <f ca="1">IFERROR(__xludf.DUMMYFUNCTION("""COMPUTED_VALUE"""),"Monée Hollingsworth")</f>
        <v>Monée Hollingsworth</v>
      </c>
      <c r="C6" s="25" t="str">
        <f ca="1">IFERROR(__xludf.DUMMYFUNCTION("""COMPUTED_VALUE"""),"3BF Midnight Lane")</f>
        <v>3BF Midnight Lane</v>
      </c>
      <c r="D6" s="25" t="str">
        <f ca="1">IFERROR(__xludf.DUMMYFUNCTION("""COMPUTED_VALUE"""),"Ronn &amp; Beverly Pelfrey ")</f>
        <v xml:space="preserve">Ronn &amp; Beverly Pelfrey </v>
      </c>
      <c r="E6" s="25">
        <v>10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IFERROR(__xludf.DUMMYFUNCTION("""COMPUTED_VALUE"""),833)</f>
        <v>833</v>
      </c>
      <c r="Q6" s="25" t="str">
        <f ca="1">IFERROR(__xludf.DUMMYFUNCTION("""COMPUTED_VALUE"""),"Charlie DeAtley")</f>
        <v>Charlie DeAtley</v>
      </c>
      <c r="R6" s="25" t="str">
        <f ca="1">IFERROR(__xludf.DUMMYFUNCTION("""COMPUTED_VALUE"""),"R &amp; B Choco Pock’s Marietta")</f>
        <v>R &amp; B Choco Pock’s Marietta</v>
      </c>
      <c r="S6" s="25" t="str">
        <f ca="1">IFERROR(__xludf.DUMMYFUNCTION("""COMPUTED_VALUE"""),"Steve &amp; Susan Heuslein")</f>
        <v>Steve &amp; Susan Heuslein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IFERROR(__xludf.DUMMYFUNCTION("""COMPUTED_VALUE"""),480)</f>
        <v>480</v>
      </c>
      <c r="B7" s="25" t="str">
        <f ca="1">IFERROR(__xludf.DUMMYFUNCTION("""COMPUTED_VALUE"""),"John Rose")</f>
        <v>John Rose</v>
      </c>
      <c r="C7" s="25" t="str">
        <f ca="1">IFERROR(__xludf.DUMMYFUNCTION("""COMPUTED_VALUE"""),"Sassy But Still Classy")</f>
        <v>Sassy But Still Classy</v>
      </c>
      <c r="D7" s="25" t="str">
        <f ca="1">IFERROR(__xludf.DUMMYFUNCTION("""COMPUTED_VALUE"""),"Tony &amp; Sally Hurt")</f>
        <v>Tony &amp; Sally Hurt</v>
      </c>
      <c r="E7" s="25">
        <v>7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IFERROR(__xludf.DUMMYFUNCTION("""COMPUTED_VALUE"""),955)</f>
        <v>955</v>
      </c>
      <c r="Q7" s="25" t="str">
        <f ca="1">IFERROR(__xludf.DUMMYFUNCTION("""COMPUTED_VALUE"""),"Donald Smith")</f>
        <v>Donald Smith</v>
      </c>
      <c r="R7" s="25" t="str">
        <f ca="1">IFERROR(__xludf.DUMMYFUNCTION("""COMPUTED_VALUE"""),"MVF Mr. Big Stuff")</f>
        <v>MVF Mr. Big Stuff</v>
      </c>
      <c r="S7" s="25" t="str">
        <f ca="1">IFERROR(__xludf.DUMMYFUNCTION("""COMPUTED_VALUE"""),"Andrew Byrd")</f>
        <v>Andrew Byrd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>
        <f ca="1">IFERROR(__xludf.DUMMYFUNCTION("""COMPUTED_VALUE"""),645)</f>
        <v>645</v>
      </c>
      <c r="B8" s="25" t="str">
        <f ca="1">IFERROR(__xludf.DUMMYFUNCTION("""COMPUTED_VALUE"""),"Amy Stefanic")</f>
        <v>Amy Stefanic</v>
      </c>
      <c r="C8" s="25" t="str">
        <f ca="1">IFERROR(__xludf.DUMMYFUNCTION("""COMPUTED_VALUE"""),"GWF Sugar N Spice")</f>
        <v>GWF Sugar N Spice</v>
      </c>
      <c r="D8" s="25" t="str">
        <f ca="1">IFERROR(__xludf.DUMMYFUNCTION("""COMPUTED_VALUE"""),"Jeff &amp; Mary AnnMars")</f>
        <v>Jeff &amp; Mary AnnMars</v>
      </c>
      <c r="E8" s="25">
        <v>6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IFERROR(__xludf.DUMMYFUNCTION("""COMPUTED_VALUE"""),957)</f>
        <v>957</v>
      </c>
      <c r="Q8" s="25" t="str">
        <f ca="1">IFERROR(__xludf.DUMMYFUNCTION("""COMPUTED_VALUE"""),"Kevin Kiper")</f>
        <v>Kevin Kiper</v>
      </c>
      <c r="R8" s="25" t="str">
        <f ca="1">IFERROR(__xludf.DUMMYFUNCTION("""COMPUTED_VALUE"""),"DNS High Maintenance")</f>
        <v>DNS High Maintenance</v>
      </c>
      <c r="S8" s="25" t="str">
        <f ca="1">IFERROR(__xludf.DUMMYFUNCTION("""COMPUTED_VALUE"""),"Kevin &amp; Amy Kiper")</f>
        <v>Kevin &amp; Amy Kiper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>
        <f ca="1">IFERROR(__xludf.DUMMYFUNCTION("""COMPUTED_VALUE"""),833)</f>
        <v>833</v>
      </c>
      <c r="B9" s="25" t="str">
        <f ca="1">IFERROR(__xludf.DUMMYFUNCTION("""COMPUTED_VALUE"""),"Charlie DeAtley")</f>
        <v>Charlie DeAtley</v>
      </c>
      <c r="C9" s="25" t="str">
        <f ca="1">IFERROR(__xludf.DUMMYFUNCTION("""COMPUTED_VALUE"""),"R &amp; B Choco Pock’s Marietta")</f>
        <v>R &amp; B Choco Pock’s Marietta</v>
      </c>
      <c r="D9" s="25" t="str">
        <f ca="1">IFERROR(__xludf.DUMMYFUNCTION("""COMPUTED_VALUE"""),"Steve &amp; Susan Heuslein")</f>
        <v>Steve &amp; Susan Heuslein</v>
      </c>
      <c r="E9" s="25">
        <v>8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IFERROR(__xludf.DUMMYFUNCTION("""COMPUTED_VALUE"""),116)</f>
        <v>116</v>
      </c>
      <c r="Q9" s="25" t="str">
        <f ca="1">IFERROR(__xludf.DUMMYFUNCTION("""COMPUTED_VALUE"""),"Mary Kelley Tucker")</f>
        <v>Mary Kelley Tucker</v>
      </c>
      <c r="R9" s="25" t="str">
        <f ca="1">IFERROR(__xludf.DUMMYFUNCTION("""COMPUTED_VALUE"""),"B &amp; T's Slamma Jamma")</f>
        <v>B &amp; T's Slamma Jamma</v>
      </c>
      <c r="S9" s="25" t="str">
        <f ca="1">IFERROR(__xludf.DUMMYFUNCTION("""COMPUTED_VALUE"""),"Brenda Watson")</f>
        <v>Brenda Watson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>
        <f ca="1">IFERROR(__xludf.DUMMYFUNCTION("""COMPUTED_VALUE"""),955)</f>
        <v>955</v>
      </c>
      <c r="B10" s="25" t="str">
        <f ca="1">IFERROR(__xludf.DUMMYFUNCTION("""COMPUTED_VALUE"""),"Donald Smith")</f>
        <v>Donald Smith</v>
      </c>
      <c r="C10" s="25" t="str">
        <f ca="1">IFERROR(__xludf.DUMMYFUNCTION("""COMPUTED_VALUE"""),"MVF Mr. Big Stuff")</f>
        <v>MVF Mr. Big Stuff</v>
      </c>
      <c r="D10" s="25" t="str">
        <f ca="1">IFERROR(__xludf.DUMMYFUNCTION("""COMPUTED_VALUE"""),"Andrew Byrd")</f>
        <v>Andrew Byrd</v>
      </c>
      <c r="E10" s="25">
        <v>4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2 Name")</f>
        <v>Rider 2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>
        <f ca="1">IFERROR(__xludf.DUMMYFUNCTION("""COMPUTED_VALUE"""),957)</f>
        <v>957</v>
      </c>
      <c r="B11" s="25" t="str">
        <f ca="1">IFERROR(__xludf.DUMMYFUNCTION("""COMPUTED_VALUE"""),"Kevin Kiper")</f>
        <v>Kevin Kiper</v>
      </c>
      <c r="C11" s="25" t="str">
        <f ca="1">IFERROR(__xludf.DUMMYFUNCTION("""COMPUTED_VALUE"""),"DNS High Maintenance")</f>
        <v>DNS High Maintenance</v>
      </c>
      <c r="D11" s="25" t="str">
        <f ca="1">IFERROR(__xludf.DUMMYFUNCTION("""COMPUTED_VALUE"""),"Kevin &amp; Amy Kiper")</f>
        <v>Kevin &amp; Amy Kiper</v>
      </c>
      <c r="E11" s="25">
        <v>1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>
        <f ca="1">IFERROR(__xludf.DUMMYFUNCTION("""COMPUTED_VALUE"""),106)</f>
        <v>106</v>
      </c>
      <c r="Q11" s="25" t="str">
        <f ca="1">IFERROR(__xludf.DUMMYFUNCTION("""COMPUTED_VALUE"""),"Derick Tipton")</f>
        <v>Derick Tipton</v>
      </c>
      <c r="R11" s="25" t="str">
        <f ca="1">IFERROR(__xludf.DUMMYFUNCTION("""COMPUTED_VALUE"""),"Hell of Heels")</f>
        <v>Hell of Heels</v>
      </c>
      <c r="S11" s="25" t="str">
        <f ca="1">IFERROR(__xludf.DUMMYFUNCTION("""COMPUTED_VALUE"""),"John &amp; Kim Stivers")</f>
        <v>John &amp; Kim Stivers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>
        <f ca="1">IFERROR(__xludf.DUMMYFUNCTION("""COMPUTED_VALUE"""),188)</f>
        <v>188</v>
      </c>
      <c r="Q12" s="25" t="str">
        <f ca="1">IFERROR(__xludf.DUMMYFUNCTION("""COMPUTED_VALUE"""),"Chastity Adkins")</f>
        <v>Chastity Adkins</v>
      </c>
      <c r="R12" s="25" t="str">
        <f ca="1">IFERROR(__xludf.DUMMYFUNCTION("""COMPUTED_VALUE"""),"Elixir's Juliet")</f>
        <v>Elixir's Juliet</v>
      </c>
      <c r="S12" s="25" t="str">
        <f ca="1">IFERROR(__xludf.DUMMYFUNCTION("""COMPUTED_VALUE"""),"Lisa Nicarry")</f>
        <v>Lisa Nicarry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 t="str">
        <f ca="1">IFERROR(__xludf.DUMMYFUNCTION("""COMPUTED_VALUE"""),"Back Number")</f>
        <v>Back Number</v>
      </c>
      <c r="Q13" s="25" t="str">
        <f ca="1">IFERROR(__xludf.DUMMYFUNCTION("""COMPUTED_VALUE"""),"Rider 3 Name")</f>
        <v>Rider 3 Name</v>
      </c>
      <c r="R13" s="25" t="str">
        <f ca="1">IFERROR(__xludf.DUMMYFUNCTION("""COMPUTED_VALUE"""),"Horse Name")</f>
        <v>Horse Name</v>
      </c>
      <c r="S13" s="25" t="str">
        <f ca="1">IFERROR(__xludf.DUMMYFUNCTION("""COMPUTED_VALUE"""),"Owner")</f>
        <v>Owner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 t="str">
        <f ca="1">IFERROR(__xludf.DUMMYFUNCTION("""COMPUTED_VALUE"""),"Back Number")</f>
        <v>Back Number</v>
      </c>
      <c r="Q14" s="25" t="str">
        <f ca="1">IFERROR(__xludf.DUMMYFUNCTION("""COMPUTED_VALUE"""),"Rider 4 Name")</f>
        <v>Rider 4 Name</v>
      </c>
      <c r="R14" s="25" t="str">
        <f ca="1">IFERROR(__xludf.DUMMYFUNCTION("""COMPUTED_VALUE"""),"Horse Name")</f>
        <v>Horse Name</v>
      </c>
      <c r="S14" s="25" t="str">
        <f ca="1">IFERROR(__xludf.DUMMYFUNCTION("""COMPUTED_VALUE"""),"Owner")</f>
        <v>Owner</v>
      </c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 t="str">
        <f ca="1">IFERROR(__xludf.DUMMYFUNCTION("""COMPUTED_VALUE"""),"Back Number")</f>
        <v>Back Number</v>
      </c>
      <c r="Q15" s="25" t="str">
        <f ca="1">IFERROR(__xludf.DUMMYFUNCTION("""COMPUTED_VALUE"""),"Rider 6 Name")</f>
        <v>Rider 6 Name</v>
      </c>
      <c r="R15" s="25" t="str">
        <f ca="1">IFERROR(__xludf.DUMMYFUNCTION("""COMPUTED_VALUE"""),"Horse Name")</f>
        <v>Horse Name</v>
      </c>
      <c r="S15" s="25" t="str">
        <f ca="1">IFERROR(__xludf.DUMMYFUNCTION("""COMPUTED_VALUE"""),"Owner")</f>
        <v>Owner</v>
      </c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">
      <c r="A40" s="16"/>
    </row>
    <row r="41" spans="1:26" ht="15.75" customHeight="1" x14ac:dyDescent="0.2">
      <c r="A41" s="16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2.75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 summaryRight="0"/>
    <pageSetUpPr fitToPage="1"/>
  </sheetPr>
  <dimension ref="A1:Z40"/>
  <sheetViews>
    <sheetView workbookViewId="0">
      <selection activeCell="N2" sqref="N2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17" width="12.5703125" hidden="1"/>
    <col min="18" max="18" width="22.140625" hidden="1" customWidth="1"/>
    <col min="19" max="26" width="12.5703125" hidden="1"/>
  </cols>
  <sheetData>
    <row r="1" spans="1:26" ht="33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55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P"")"),"338")</f>
        <v>338</v>
      </c>
      <c r="B2" s="25" t="str">
        <f ca="1">IFERROR(__xludf.DUMMYFUNCTION("""COMPUTED_VALUE"""),"Sherri Allen")</f>
        <v>Sherri Allen</v>
      </c>
      <c r="C2" s="25" t="str">
        <f ca="1">IFERROR(__xludf.DUMMYFUNCTION("""COMPUTED_VALUE"""),"Cuppie")</f>
        <v>Cuppie</v>
      </c>
      <c r="D2" s="25" t="str">
        <f ca="1">IFERROR(__xludf.DUMMYFUNCTION("""COMPUTED_VALUE"""),"Sherri Allen")</f>
        <v>Sherri Allen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IFERROR(__xludf.DUMMYFUNCTION("""COMPUTED_VALUE"""),338)</f>
        <v>338</v>
      </c>
      <c r="Q2" s="25" t="str">
        <f ca="1">IFERROR(__xludf.DUMMYFUNCTION("""COMPUTED_VALUE"""),"Sherri Allen")</f>
        <v>Sherri Allen</v>
      </c>
      <c r="R2" s="25" t="str">
        <f ca="1">IFERROR(__xludf.DUMMYFUNCTION("""COMPUTED_VALUE"""),"Cuppie")</f>
        <v>Cuppie</v>
      </c>
      <c r="S2" s="25" t="str">
        <f ca="1">IFERROR(__xludf.DUMMYFUNCTION("""COMPUTED_VALUE"""),"Sherri Allen")</f>
        <v>Sherri Allen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IFERROR(__xludf.DUMMYFUNCTION("""COMPUTED_VALUE"""),"930.1")</f>
        <v>930.1</v>
      </c>
      <c r="B3" s="25" t="str">
        <f ca="1">IFERROR(__xludf.DUMMYFUNCTION("""COMPUTED_VALUE"""),"Paul Sexton")</f>
        <v>Paul Sexton</v>
      </c>
      <c r="C3" s="25" t="str">
        <f ca="1">IFERROR(__xludf.DUMMYFUNCTION("""COMPUTED_VALUE"""),"Dixie Chick")</f>
        <v>Dixie Chick</v>
      </c>
      <c r="D3" s="25" t="str">
        <f ca="1">IFERROR(__xludf.DUMMYFUNCTION("""COMPUTED_VALUE"""),"Paul Sexton")</f>
        <v>Paul Sexton</v>
      </c>
      <c r="E3" s="25">
        <v>1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IFERROR(__xludf.DUMMYFUNCTION("""COMPUTED_VALUE"""),930.1)</f>
        <v>930.1</v>
      </c>
      <c r="Q3" s="25" t="str">
        <f ca="1">IFERROR(__xludf.DUMMYFUNCTION("""COMPUTED_VALUE"""),"Paul Sexton")</f>
        <v>Paul Sexton</v>
      </c>
      <c r="R3" s="25" t="str">
        <f ca="1">IFERROR(__xludf.DUMMYFUNCTION("""COMPUTED_VALUE"""),"Dixie Chick")</f>
        <v>Dixie Chick</v>
      </c>
      <c r="S3" s="25" t="str">
        <f ca="1">IFERROR(__xludf.DUMMYFUNCTION("""COMPUTED_VALUE"""),"Paul Sexton")</f>
        <v>Paul Sexton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2 Name")</f>
        <v>Rider 2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3 Name")</f>
        <v>Rider 3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5 Name")</f>
        <v>Rider 5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6 Name")</f>
        <v>Rider 6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 summaryRight="0"/>
    <pageSetUpPr fitToPage="1"/>
  </sheetPr>
  <dimension ref="A1:Z40"/>
  <sheetViews>
    <sheetView workbookViewId="0">
      <selection activeCell="N2" sqref="N2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29.45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199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P"")"),"#N/A")</f>
        <v>#N/A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 t="str">
        <f ca="1">IFERROR(__xludf.DUMMYFUNCTION("""COMPUTED_VALUE"""),"Back Number")</f>
        <v>Back Number</v>
      </c>
      <c r="Q2" s="25" t="str">
        <f ca="1">IFERROR(__xludf.DUMMYFUNCTION("""COMPUTED_VALUE"""),"Rider 2 Name")</f>
        <v>Rider 2 Name</v>
      </c>
      <c r="R2" s="25" t="str">
        <f ca="1">IFERROR(__xludf.DUMMYFUNCTION("""COMPUTED_VALUE"""),"Horse Name")</f>
        <v>Horse Name</v>
      </c>
      <c r="S2" s="25" t="str">
        <f ca="1">IFERROR(__xludf.DUMMYFUNCTION("""COMPUTED_VALUE"""),"Owner")</f>
        <v>Owner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IFERROR(__xludf.DUMMYFUNCTION("""COMPUTED_VALUE"""),"Rider 3 Name")</f>
        <v>Rider 3 Name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4 Name")</f>
        <v>Rider 4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6 Name")</f>
        <v>Rider 6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>
        <v>0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 summaryRight="0"/>
    <pageSetUpPr fitToPage="1"/>
  </sheetPr>
  <dimension ref="A1:Z40"/>
  <sheetViews>
    <sheetView workbookViewId="0">
      <selection activeCell="N2" sqref="N2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1.5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53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P"")"),"486")</f>
        <v>486</v>
      </c>
      <c r="B2" s="25" t="str">
        <f ca="1">IFERROR(__xludf.DUMMYFUNCTION("""COMPUTED_VALUE"""),"Shaun Lyon")</f>
        <v>Shaun Lyon</v>
      </c>
      <c r="C2" s="25" t="str">
        <f ca="1">IFERROR(__xludf.DUMMYFUNCTION("""COMPUTED_VALUE"""),"GHS's Breaking Vegas")</f>
        <v>GHS's Breaking Vegas</v>
      </c>
      <c r="D2" s="25" t="str">
        <f ca="1">IFERROR(__xludf.DUMMYFUNCTION("""COMPUTED_VALUE"""),"Baylee Fowler")</f>
        <v>Baylee Fowler</v>
      </c>
      <c r="E2" s="25">
        <v>3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IFERROR(__xludf.DUMMYFUNCTION("""COMPUTED_VALUE"""),604)</f>
        <v>604</v>
      </c>
      <c r="Q2" s="25" t="str">
        <f ca="1">IFERROR(__xludf.DUMMYFUNCTION("""COMPUTED_VALUE"""),"Ashley Hanson")</f>
        <v>Ashley Hanson</v>
      </c>
      <c r="R2" s="25" t="str">
        <f ca="1">IFERROR(__xludf.DUMMYFUNCTION("""COMPUTED_VALUE"""),"Robinsons Turbo")</f>
        <v>Robinsons Turbo</v>
      </c>
      <c r="S2" s="25" t="str">
        <f ca="1">IFERROR(__xludf.DUMMYFUNCTION("""COMPUTED_VALUE"""),"Ashley Hanson")</f>
        <v>Ashley Hanson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IFERROR(__xludf.DUMMYFUNCTION("""COMPUTED_VALUE"""),"604")</f>
        <v>604</v>
      </c>
      <c r="B3" s="25" t="s">
        <v>158</v>
      </c>
      <c r="C3" s="25" t="str">
        <f ca="1">IFERROR(__xludf.DUMMYFUNCTION("""COMPUTED_VALUE"""),"Robinsons Turbo")</f>
        <v>Robinsons Turbo</v>
      </c>
      <c r="D3" s="25" t="s">
        <v>158</v>
      </c>
      <c r="E3" s="25">
        <v>4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IFERROR(__xludf.DUMMYFUNCTION("""COMPUTED_VALUE"""),642)</f>
        <v>642</v>
      </c>
      <c r="Q3" s="25" t="str">
        <f ca="1">IFERROR(__xludf.DUMMYFUNCTION("""COMPUTED_VALUE"""),"Makayla Hill")</f>
        <v>Makayla Hill</v>
      </c>
      <c r="R3" s="25" t="str">
        <f ca="1">IFERROR(__xludf.DUMMYFUNCTION("""COMPUTED_VALUE"""),"Cypress Star Ace")</f>
        <v>Cypress Star Ace</v>
      </c>
      <c r="S3" s="25" t="str">
        <f ca="1">IFERROR(__xludf.DUMMYFUNCTION("""COMPUTED_VALUE"""),"Rocky Creek Farm")</f>
        <v>Rocky Creek Farm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 t="str">
        <f ca="1">IFERROR(__xludf.DUMMYFUNCTION("""COMPUTED_VALUE"""),"642")</f>
        <v>642</v>
      </c>
      <c r="B4" s="25" t="str">
        <f ca="1">IFERROR(__xludf.DUMMYFUNCTION("""COMPUTED_VALUE"""),"Makayla Hill")</f>
        <v>Makayla Hill</v>
      </c>
      <c r="C4" s="25" t="str">
        <f ca="1">IFERROR(__xludf.DUMMYFUNCTION("""COMPUTED_VALUE"""),"Cypress Star Ace")</f>
        <v>Cypress Star Ace</v>
      </c>
      <c r="D4" s="25" t="str">
        <f ca="1">IFERROR(__xludf.DUMMYFUNCTION("""COMPUTED_VALUE"""),"Rocky Creek Farm")</f>
        <v>Rocky Creek Farm</v>
      </c>
      <c r="E4" s="25">
        <v>1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IFERROR(__xludf.DUMMYFUNCTION("""COMPUTED_VALUE"""),901)</f>
        <v>901</v>
      </c>
      <c r="Q4" s="25" t="str">
        <f ca="1">IFERROR(__xludf.DUMMYFUNCTION("""COMPUTED_VALUE"""),"Cheryl Adkins")</f>
        <v>Cheryl Adkins</v>
      </c>
      <c r="R4" s="25" t="str">
        <f ca="1">IFERROR(__xludf.DUMMYFUNCTION("""COMPUTED_VALUE"""),"GHS’S Play It Again")</f>
        <v>GHS’S Play It Again</v>
      </c>
      <c r="S4" s="25" t="str">
        <f ca="1">IFERROR(__xludf.DUMMYFUNCTION("""COMPUTED_VALUE"""),"Dale Chu")</f>
        <v>Dale Chu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 t="str">
        <f ca="1">IFERROR(__xludf.DUMMYFUNCTION("""COMPUTED_VALUE"""),"901")</f>
        <v>901</v>
      </c>
      <c r="B5" s="25" t="str">
        <f ca="1">IFERROR(__xludf.DUMMYFUNCTION("""COMPUTED_VALUE"""),"Cheryl Adkins")</f>
        <v>Cheryl Adkins</v>
      </c>
      <c r="C5" s="25" t="str">
        <f ca="1">IFERROR(__xludf.DUMMYFUNCTION("""COMPUTED_VALUE"""),"GHS’S Play It Again")</f>
        <v>GHS’S Play It Again</v>
      </c>
      <c r="D5" s="25" t="str">
        <f ca="1">IFERROR(__xludf.DUMMYFUNCTION("""COMPUTED_VALUE"""),"Dale Chu")</f>
        <v>Dale Chu</v>
      </c>
      <c r="E5" s="25">
        <v>2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2 Name")</f>
        <v>Rider 2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IFERROR(__xludf.DUMMYFUNCTION("""COMPUTED_VALUE"""),486)</f>
        <v>486</v>
      </c>
      <c r="Q6" s="25" t="str">
        <f ca="1">IFERROR(__xludf.DUMMYFUNCTION("""COMPUTED_VALUE"""),"Shaun Lyon")</f>
        <v>Shaun Lyon</v>
      </c>
      <c r="R6" s="25" t="str">
        <f ca="1">IFERROR(__xludf.DUMMYFUNCTION("""COMPUTED_VALUE"""),"GHS's Breaking Vegas")</f>
        <v>GHS's Breaking Vegas</v>
      </c>
      <c r="S6" s="25" t="str">
        <f ca="1">IFERROR(__xludf.DUMMYFUNCTION("""COMPUTED_VALUE"""),"Baylee Fowler")</f>
        <v>Baylee Fowler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3 Name")</f>
        <v>Rider 3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5 Name")</f>
        <v>Rider 5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6 Name")</f>
        <v>Rider 6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 summaryRight="0"/>
    <pageSetUpPr fitToPage="1"/>
  </sheetPr>
  <dimension ref="A1:Z998"/>
  <sheetViews>
    <sheetView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2.42578125" customWidth="1"/>
    <col min="4" max="5" width="25.140625" customWidth="1"/>
    <col min="6" max="13" width="12.5703125" hidden="1"/>
    <col min="14" max="14" width="94.140625" customWidth="1"/>
    <col min="15" max="26" width="12.5703125" hidden="1"/>
  </cols>
  <sheetData>
    <row r="1" spans="1:26" ht="30.95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64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IFERROR(__xludf.DUMMYFUNCTION("QUERY(P2:S999,""SELECT * WHERE R IS NOT NULL AND R !='Horse Name' Order By P"")"),72)</f>
        <v>72</v>
      </c>
      <c r="B2" s="25" t="str">
        <f ca="1">IFERROR(__xludf.DUMMYFUNCTION("""COMPUTED_VALUE"""),"Sharma Brown")</f>
        <v>Sharma Brown</v>
      </c>
      <c r="C2" s="25" t="str">
        <f ca="1">IFERROR(__xludf.DUMMYFUNCTION("""COMPUTED_VALUE"""),"Rocky Creek's Gentleman Jack")</f>
        <v>Rocky Creek's Gentleman Jack</v>
      </c>
      <c r="D2" s="25" t="s">
        <v>65</v>
      </c>
      <c r="E2" s="25">
        <v>3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IFERROR(__xludf.DUMMYFUNCTION("""COMPUTED_VALUE"""),920)</f>
        <v>920</v>
      </c>
      <c r="Q2" s="25" t="str">
        <f ca="1">IFERROR(__xludf.DUMMYFUNCTION("""COMPUTED_VALUE"""),"Derek Vance")</f>
        <v>Derek Vance</v>
      </c>
      <c r="R2" s="25" t="str">
        <f ca="1">IFERROR(__xludf.DUMMYFUNCTION("""COMPUTED_VALUE"""),"HMH Secrets N the Moonlight")</f>
        <v>HMH Secrets N the Moonlight</v>
      </c>
      <c r="S2" s="25" t="str">
        <f ca="1">IFERROR(__xludf.DUMMYFUNCTION("""COMPUTED_VALUE"""),"Derek Vance")</f>
        <v>Derek Vance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IFERROR(__xludf.DUMMYFUNCTION("""COMPUTED_VALUE"""),187)</f>
        <v>187</v>
      </c>
      <c r="B3" s="25" t="str">
        <f ca="1">IFERROR(__xludf.DUMMYFUNCTION("""COMPUTED_VALUE"""),"Morgan Stumbo")</f>
        <v>Morgan Stumbo</v>
      </c>
      <c r="C3" s="25" t="str">
        <f ca="1">IFERROR(__xludf.DUMMYFUNCTION("""COMPUTED_VALUE"""),"Spirit's Wild Card")</f>
        <v>Spirit's Wild Card</v>
      </c>
      <c r="D3" s="25" t="str">
        <f ca="1">IFERROR(__xludf.DUMMYFUNCTION("""COMPUTED_VALUE"""),"Morgan Stumbo")</f>
        <v>Morgan Stumbo</v>
      </c>
      <c r="E3" s="25">
        <v>7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IFERROR(__xludf.DUMMYFUNCTION("""COMPUTED_VALUE"""),913)</f>
        <v>913</v>
      </c>
      <c r="Q3" s="25" t="str">
        <f ca="1">IFERROR(__xludf.DUMMYFUNCTION("""COMPUTED_VALUE"""),"Jennifer Flannery-Hall")</f>
        <v>Jennifer Flannery-Hall</v>
      </c>
      <c r="R3" s="25" t="str">
        <f ca="1">IFERROR(__xludf.DUMMYFUNCTION("""COMPUTED_VALUE"""),"Obviously an Heiress")</f>
        <v>Obviously an Heiress</v>
      </c>
      <c r="S3" s="25" t="str">
        <f ca="1">IFERROR(__xludf.DUMMYFUNCTION("""COMPUTED_VALUE"""),"Jennifer Flannery-Hall")</f>
        <v>Jennifer Flannery-Hall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IFERROR(__xludf.DUMMYFUNCTION("""COMPUTED_VALUE"""),210)</f>
        <v>210</v>
      </c>
      <c r="B4" s="25" t="str">
        <f ca="1">IFERROR(__xludf.DUMMYFUNCTION("""COMPUTED_VALUE"""),"Andrea Crawford")</f>
        <v>Andrea Crawford</v>
      </c>
      <c r="C4" s="25" t="str">
        <f ca="1">IFERROR(__xludf.DUMMYFUNCTION("""COMPUTED_VALUE"""),"Smokey Joe's Annabelle")</f>
        <v>Smokey Joe's Annabelle</v>
      </c>
      <c r="D4" s="25" t="str">
        <f ca="1">IFERROR(__xludf.DUMMYFUNCTION("""COMPUTED_VALUE"""),"Candy Brinegar")</f>
        <v>Candy Brinegar</v>
      </c>
      <c r="E4" s="25">
        <v>1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IFERROR(__xludf.DUMMYFUNCTION("""COMPUTED_VALUE"""),187)</f>
        <v>187</v>
      </c>
      <c r="Q4" s="25" t="str">
        <f ca="1">IFERROR(__xludf.DUMMYFUNCTION("""COMPUTED_VALUE"""),"Morgan Stumbo")</f>
        <v>Morgan Stumbo</v>
      </c>
      <c r="R4" s="25" t="str">
        <f ca="1">IFERROR(__xludf.DUMMYFUNCTION("""COMPUTED_VALUE"""),"Spirit's Wild Card")</f>
        <v>Spirit's Wild Card</v>
      </c>
      <c r="S4" s="25" t="str">
        <f ca="1">IFERROR(__xludf.DUMMYFUNCTION("""COMPUTED_VALUE"""),"Morgan Stumbo")</f>
        <v>Morgan Stumbo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IFERROR(__xludf.DUMMYFUNCTION("""COMPUTED_VALUE"""),314)</f>
        <v>314</v>
      </c>
      <c r="B5" s="25" t="str">
        <f ca="1">IFERROR(__xludf.DUMMYFUNCTION("""COMPUTED_VALUE"""),"Charity Burton")</f>
        <v>Charity Burton</v>
      </c>
      <c r="C5" s="25" t="str">
        <f ca="1">IFERROR(__xludf.DUMMYFUNCTION("""COMPUTED_VALUE"""),"HF's Jack Black")</f>
        <v>HF's Jack Black</v>
      </c>
      <c r="D5" s="25" t="str">
        <f ca="1">IFERROR(__xludf.DUMMYFUNCTION("""COMPUTED_VALUE"""),"Charity Burton")</f>
        <v>Charity Burton</v>
      </c>
      <c r="E5" s="25">
        <v>5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IFERROR(__xludf.DUMMYFUNCTION("""COMPUTED_VALUE"""),72)</f>
        <v>72</v>
      </c>
      <c r="Q5" s="25" t="str">
        <f ca="1">IFERROR(__xludf.DUMMYFUNCTION("""COMPUTED_VALUE"""),"Sharma Brown")</f>
        <v>Sharma Brown</v>
      </c>
      <c r="R5" s="25" t="str">
        <f ca="1">IFERROR(__xludf.DUMMYFUNCTION("""COMPUTED_VALUE"""),"Rocky Creek's Gentleman Jack")</f>
        <v>Rocky Creek's Gentleman Jack</v>
      </c>
      <c r="S5" s="25" t="str">
        <f ca="1">IFERROR(__xludf.DUMMYFUNCTION("""COMPUTED_VALUE"""),"Beci Brown")</f>
        <v>Beci Brown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IFERROR(__xludf.DUMMYFUNCTION("""COMPUTED_VALUE"""),806)</f>
        <v>806</v>
      </c>
      <c r="B6" s="25" t="str">
        <f ca="1">IFERROR(__xludf.DUMMYFUNCTION("""COMPUTED_VALUE"""),"Charlie DeAtley")</f>
        <v>Charlie DeAtley</v>
      </c>
      <c r="C6" s="25" t="str">
        <f ca="1">IFERROR(__xludf.DUMMYFUNCTION("""COMPUTED_VALUE"""),"She's All Mine")</f>
        <v>She's All Mine</v>
      </c>
      <c r="D6" s="25" t="str">
        <f ca="1">IFERROR(__xludf.DUMMYFUNCTION("""COMPUTED_VALUE"""),"Brenda Watson")</f>
        <v>Brenda Watson</v>
      </c>
      <c r="E6" s="25">
        <v>8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IFERROR(__xludf.DUMMYFUNCTION("""COMPUTED_VALUE"""),917)</f>
        <v>917</v>
      </c>
      <c r="Q6" s="25" t="str">
        <f ca="1">IFERROR(__xludf.DUMMYFUNCTION("""COMPUTED_VALUE"""),"Mary Kelly Tucker")</f>
        <v>Mary Kelly Tucker</v>
      </c>
      <c r="R6" s="25" t="str">
        <f ca="1">IFERROR(__xludf.DUMMYFUNCTION("""COMPUTED_VALUE"""),"WOF's Wind Commander")</f>
        <v>WOF's Wind Commander</v>
      </c>
      <c r="S6" s="25" t="str">
        <f ca="1">IFERROR(__xludf.DUMMYFUNCTION("""COMPUTED_VALUE"""),"Ann Day")</f>
        <v>Ann Day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IFERROR(__xludf.DUMMYFUNCTION("""COMPUTED_VALUE"""),913)</f>
        <v>913</v>
      </c>
      <c r="B7" s="25" t="str">
        <f ca="1">IFERROR(__xludf.DUMMYFUNCTION("""COMPUTED_VALUE"""),"Jennifer Flannery-Hall")</f>
        <v>Jennifer Flannery-Hall</v>
      </c>
      <c r="C7" s="25" t="str">
        <f ca="1">IFERROR(__xludf.DUMMYFUNCTION("""COMPUTED_VALUE"""),"Obviously an Heiress")</f>
        <v>Obviously an Heiress</v>
      </c>
      <c r="D7" s="25" t="str">
        <f ca="1">IFERROR(__xludf.DUMMYFUNCTION("""COMPUTED_VALUE"""),"Jennifer Flannery-Hall")</f>
        <v>Jennifer Flannery-Hall</v>
      </c>
      <c r="E7" s="25">
        <v>4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IFERROR(__xludf.DUMMYFUNCTION("""COMPUTED_VALUE"""),806)</f>
        <v>806</v>
      </c>
      <c r="Q7" s="25" t="str">
        <f ca="1">IFERROR(__xludf.DUMMYFUNCTION("""COMPUTED_VALUE"""),"Charlie DeAtley")</f>
        <v>Charlie DeAtley</v>
      </c>
      <c r="R7" s="25" t="str">
        <f ca="1">IFERROR(__xludf.DUMMYFUNCTION("""COMPUTED_VALUE"""),"She's All Mine")</f>
        <v>She's All Mine</v>
      </c>
      <c r="S7" s="25" t="str">
        <f ca="1">IFERROR(__xludf.DUMMYFUNCTION("""COMPUTED_VALUE"""),"Brenda Watson")</f>
        <v>Brenda Watson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>
        <f ca="1">IFERROR(__xludf.DUMMYFUNCTION("""COMPUTED_VALUE"""),917)</f>
        <v>917</v>
      </c>
      <c r="B8" s="25" t="str">
        <f ca="1">IFERROR(__xludf.DUMMYFUNCTION("""COMPUTED_VALUE"""),"Mary Kelly Tucker")</f>
        <v>Mary Kelly Tucker</v>
      </c>
      <c r="C8" s="25" t="str">
        <f ca="1">IFERROR(__xludf.DUMMYFUNCTION("""COMPUTED_VALUE"""),"WOF's Wind Commander")</f>
        <v>WOF's Wind Commander</v>
      </c>
      <c r="D8" s="25" t="str">
        <f ca="1">IFERROR(__xludf.DUMMYFUNCTION("""COMPUTED_VALUE"""),"Ann Day")</f>
        <v>Ann Day</v>
      </c>
      <c r="E8" s="25">
        <v>2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IFERROR(__xludf.DUMMYFUNCTION("""COMPUTED_VALUE"""),314)</f>
        <v>314</v>
      </c>
      <c r="Q8" s="25" t="str">
        <f ca="1">IFERROR(__xludf.DUMMYFUNCTION("""COMPUTED_VALUE"""),"Charity Burton")</f>
        <v>Charity Burton</v>
      </c>
      <c r="R8" s="25" t="str">
        <f ca="1">IFERROR(__xludf.DUMMYFUNCTION("""COMPUTED_VALUE"""),"HF's Jack Black")</f>
        <v>HF's Jack Black</v>
      </c>
      <c r="S8" s="25" t="str">
        <f ca="1">IFERROR(__xludf.DUMMYFUNCTION("""COMPUTED_VALUE"""),"Charity Burton")</f>
        <v>Charity Burton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>
        <f ca="1">IFERROR(__xludf.DUMMYFUNCTION("""COMPUTED_VALUE"""),920)</f>
        <v>920</v>
      </c>
      <c r="B9" s="25" t="str">
        <f ca="1">IFERROR(__xludf.DUMMYFUNCTION("""COMPUTED_VALUE"""),"Derek Vance")</f>
        <v>Derek Vance</v>
      </c>
      <c r="C9" s="25" t="str">
        <f ca="1">IFERROR(__xludf.DUMMYFUNCTION("""COMPUTED_VALUE"""),"HMH Secrets N the Moonlight")</f>
        <v>HMH Secrets N the Moonlight</v>
      </c>
      <c r="D9" s="25" t="str">
        <f ca="1">IFERROR(__xludf.DUMMYFUNCTION("""COMPUTED_VALUE"""),"Derek Vance")</f>
        <v>Derek Vance</v>
      </c>
      <c r="E9" s="25">
        <v>6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IFERROR(__xludf.DUMMYFUNCTION("""COMPUTED_VALUE"""),210)</f>
        <v>210</v>
      </c>
      <c r="Q9" s="25" t="str">
        <f ca="1">IFERROR(__xludf.DUMMYFUNCTION("""COMPUTED_VALUE"""),"Andrea Crawford")</f>
        <v>Andrea Crawford</v>
      </c>
      <c r="R9" s="25" t="str">
        <f ca="1">IFERROR(__xludf.DUMMYFUNCTION("""COMPUTED_VALUE"""),"Smokey Joe's Annabelle")</f>
        <v>Smokey Joe's Annabelle</v>
      </c>
      <c r="S9" s="25" t="str">
        <f ca="1">IFERROR(__xludf.DUMMYFUNCTION("""COMPUTED_VALUE"""),"Candy Brinegar")</f>
        <v>Candy Brinegar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2 Name")</f>
        <v>Rider 2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3 Name")</f>
        <v>Rider 3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5 Name")</f>
        <v>Rider 5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 t="str">
        <f ca="1">IFERROR(__xludf.DUMMYFUNCTION("""COMPUTED_VALUE"""),"Back Number")</f>
        <v>Back Number</v>
      </c>
      <c r="Q13" s="25" t="str">
        <f ca="1">IFERROR(__xludf.DUMMYFUNCTION("""COMPUTED_VALUE"""),"Rider 6 Name")</f>
        <v>Rider 6 Name</v>
      </c>
      <c r="R13" s="25" t="str">
        <f ca="1">IFERROR(__xludf.DUMMYFUNCTION("""COMPUTED_VALUE"""),"Horse Name")</f>
        <v>Horse Name</v>
      </c>
      <c r="S13" s="25" t="str">
        <f ca="1">IFERROR(__xludf.DUMMYFUNCTION("""COMPUTED_VALUE"""),"Owner")</f>
        <v>Owner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 x14ac:dyDescent="0.2">
      <c r="A41" s="16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5.75" customHeight="1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outlinePr summaryBelow="0" summaryRight="0"/>
    <pageSetUpPr fitToPage="1"/>
  </sheetPr>
  <dimension ref="A1:Z40"/>
  <sheetViews>
    <sheetView workbookViewId="0">
      <selection activeCell="N2" sqref="N2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27.95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75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P"")"),"333")</f>
        <v>333</v>
      </c>
      <c r="B2" s="25" t="str">
        <f ca="1">IFERROR(__xludf.DUMMYFUNCTION("""COMPUTED_VALUE"""),"Alexa Cirignani ")</f>
        <v xml:space="preserve">Alexa Cirignani </v>
      </c>
      <c r="C2" s="25" t="str">
        <f ca="1">IFERROR(__xludf.DUMMYFUNCTION("""COMPUTED_VALUE"""),"PBF Fully Loaded")</f>
        <v>PBF Fully Loaded</v>
      </c>
      <c r="D2" s="25" t="str">
        <f ca="1">IFERROR(__xludf.DUMMYFUNCTION("""COMPUTED_VALUE"""),"Alexa Cirignani")</f>
        <v>Alexa Cirignani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IFERROR(__xludf.DUMMYFUNCTION("""COMPUTED_VALUE"""),333)</f>
        <v>333</v>
      </c>
      <c r="Q2" s="25" t="str">
        <f ca="1">IFERROR(__xludf.DUMMYFUNCTION("""COMPUTED_VALUE"""),"Alexa Cirignani ")</f>
        <v xml:space="preserve">Alexa Cirignani </v>
      </c>
      <c r="R2" s="25" t="str">
        <f ca="1">IFERROR(__xludf.DUMMYFUNCTION("""COMPUTED_VALUE"""),"PBF Fully Loaded")</f>
        <v>PBF Fully Loaded</v>
      </c>
      <c r="S2" s="25" t="str">
        <f ca="1">IFERROR(__xludf.DUMMYFUNCTION("""COMPUTED_VALUE"""),"Alexa Cirignani")</f>
        <v>Alexa Cirignani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IFERROR(__xludf.DUMMYFUNCTION("""COMPUTED_VALUE"""),"Rider 2 Name")</f>
        <v>Rider 2 Name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3 Name")</f>
        <v>Rider 3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5 Name")</f>
        <v>Rider 5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6 Name")</f>
        <v>Rider 6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 summaryRight="0"/>
    <pageSetUpPr fitToPage="1"/>
  </sheetPr>
  <dimension ref="A1:Z996"/>
  <sheetViews>
    <sheetView topLeftCell="B1"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7.5703125" customWidth="1"/>
    <col min="4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6.950000000000003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7" t="s">
        <v>190</v>
      </c>
      <c r="N1" s="30" t="s">
        <v>76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IFERROR(__xludf.DUMMYFUNCTION("QUERY(P2:S997,""SELECT * WHERE R IS NOT NULL AND R !='Horse Name' Order By P"")"),187)</f>
        <v>187</v>
      </c>
      <c r="B2" s="25" t="str">
        <f ca="1">IFERROR(__xludf.DUMMYFUNCTION("""COMPUTED_VALUE"""),"Morgan Stumbo")</f>
        <v>Morgan Stumbo</v>
      </c>
      <c r="C2" s="25" t="str">
        <f ca="1">IFERROR(__xludf.DUMMYFUNCTION("""COMPUTED_VALUE"""),"Spirit's Wild Card")</f>
        <v>Spirit's Wild Card</v>
      </c>
      <c r="D2" s="25" t="str">
        <f ca="1">IFERROR(__xludf.DUMMYFUNCTION("""COMPUTED_VALUE"""),"Morgan Stumbo")</f>
        <v>Morgan Stumbo</v>
      </c>
      <c r="E2" s="28">
        <v>5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IFERROR(__xludf.DUMMYFUNCTION("""COMPUTED_VALUE"""),808)</f>
        <v>808</v>
      </c>
      <c r="Q2" s="25" t="str">
        <f ca="1">IFERROR(__xludf.DUMMYFUNCTION("""COMPUTED_VALUE"""),"Shelby Weckerly")</f>
        <v>Shelby Weckerly</v>
      </c>
      <c r="R2" s="25" t="str">
        <f ca="1">IFERROR(__xludf.DUMMYFUNCTION("""COMPUTED_VALUE"""),"HPF Bulletproofs Bluesteel")</f>
        <v>HPF Bulletproofs Bluesteel</v>
      </c>
      <c r="S2" s="25" t="str">
        <f ca="1">IFERROR(__xludf.DUMMYFUNCTION("""COMPUTED_VALUE"""),"Shelby Weckerly")</f>
        <v>Shelby Weckerly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IFERROR(__xludf.DUMMYFUNCTION("""COMPUTED_VALUE"""),314)</f>
        <v>314</v>
      </c>
      <c r="B3" s="25" t="str">
        <f ca="1">IFERROR(__xludf.DUMMYFUNCTION("""COMPUTED_VALUE"""),"Charity Burton")</f>
        <v>Charity Burton</v>
      </c>
      <c r="C3" s="25" t="str">
        <f ca="1">IFERROR(__xludf.DUMMYFUNCTION("""COMPUTED_VALUE"""),"HF's Jack Black")</f>
        <v>HF's Jack Black</v>
      </c>
      <c r="D3" s="25" t="str">
        <f ca="1">IFERROR(__xludf.DUMMYFUNCTION("""COMPUTED_VALUE"""),"Charity Burton")</f>
        <v>Charity Burton</v>
      </c>
      <c r="E3" s="28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IFERROR(__xludf.DUMMYFUNCTION("""COMPUTED_VALUE"""),811)</f>
        <v>811</v>
      </c>
      <c r="Q3" s="25" t="str">
        <f ca="1">IFERROR(__xludf.DUMMYFUNCTION("""COMPUTED_VALUE"""),"Julie Brown")</f>
        <v>Julie Brown</v>
      </c>
      <c r="R3" s="25" t="str">
        <f ca="1">IFERROR(__xludf.DUMMYFUNCTION("""COMPUTED_VALUE"""),"Elite's Hallelujah")</f>
        <v>Elite's Hallelujah</v>
      </c>
      <c r="S3" s="25" t="str">
        <f ca="1">IFERROR(__xludf.DUMMYFUNCTION("""COMPUTED_VALUE"""),"Julie Brown")</f>
        <v>Julie Brown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IFERROR(__xludf.DUMMYFUNCTION("""COMPUTED_VALUE"""),639)</f>
        <v>639</v>
      </c>
      <c r="B4" s="25" t="str">
        <f ca="1">IFERROR(__xludf.DUMMYFUNCTION("""COMPUTED_VALUE"""),"Peyton Gabbard")</f>
        <v>Peyton Gabbard</v>
      </c>
      <c r="C4" s="25" t="str">
        <f ca="1">IFERROR(__xludf.DUMMYFUNCTION("""COMPUTED_VALUE"""),"Pap'o Ole Charlie")</f>
        <v>Pap'o Ole Charlie</v>
      </c>
      <c r="D4" s="25" t="str">
        <f ca="1">IFERROR(__xludf.DUMMYFUNCTION("""COMPUTED_VALUE"""),"Peyton Gabbard")</f>
        <v>Peyton Gabbard</v>
      </c>
      <c r="E4" s="28">
        <v>1</v>
      </c>
      <c r="F4" s="25"/>
      <c r="G4" s="25"/>
      <c r="H4" s="25"/>
      <c r="I4" s="24"/>
      <c r="J4" s="25"/>
      <c r="K4" s="25"/>
      <c r="L4" s="25"/>
      <c r="M4" s="24"/>
      <c r="N4" s="25"/>
      <c r="O4" s="25"/>
      <c r="P4" s="25">
        <f ca="1">IFERROR(__xludf.DUMMYFUNCTION("""COMPUTED_VALUE"""),796)</f>
        <v>796</v>
      </c>
      <c r="Q4" s="25" t="str">
        <f ca="1">IFERROR(__xludf.DUMMYFUNCTION("""COMPUTED_VALUE"""),"Cole Compton")</f>
        <v>Cole Compton</v>
      </c>
      <c r="R4" s="25" t="str">
        <f ca="1">IFERROR(__xludf.DUMMYFUNCTION("""COMPUTED_VALUE"""),"GHS's I'm on Holiday")</f>
        <v>GHS's I'm on Holiday</v>
      </c>
      <c r="S4" s="25" t="str">
        <f ca="1">IFERROR(__xludf.DUMMYFUNCTION("""COMPUTED_VALUE"""),"Cole Compton")</f>
        <v>Cole Compton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IFERROR(__xludf.DUMMYFUNCTION("""COMPUTED_VALUE"""),796)</f>
        <v>796</v>
      </c>
      <c r="B5" s="25" t="str">
        <f ca="1">IFERROR(__xludf.DUMMYFUNCTION("""COMPUTED_VALUE"""),"Cole Compton")</f>
        <v>Cole Compton</v>
      </c>
      <c r="C5" s="25" t="str">
        <f ca="1">IFERROR(__xludf.DUMMYFUNCTION("""COMPUTED_VALUE"""),"GHS's I'm on Holiday")</f>
        <v>GHS's I'm on Holiday</v>
      </c>
      <c r="D5" s="25" t="str">
        <f ca="1">IFERROR(__xludf.DUMMYFUNCTION("""COMPUTED_VALUE"""),"Cole Compton")</f>
        <v>Cole Compton</v>
      </c>
      <c r="E5" s="28">
        <v>8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IFERROR(__xludf.DUMMYFUNCTION("""COMPUTED_VALUE"""),187)</f>
        <v>187</v>
      </c>
      <c r="Q5" s="25" t="str">
        <f ca="1">IFERROR(__xludf.DUMMYFUNCTION("""COMPUTED_VALUE"""),"Morgan Stumbo")</f>
        <v>Morgan Stumbo</v>
      </c>
      <c r="R5" s="25" t="str">
        <f ca="1">IFERROR(__xludf.DUMMYFUNCTION("""COMPUTED_VALUE"""),"Spirit's Wild Card")</f>
        <v>Spirit's Wild Card</v>
      </c>
      <c r="S5" s="25" t="str">
        <f ca="1">IFERROR(__xludf.DUMMYFUNCTION("""COMPUTED_VALUE"""),"Morgan Stumbo")</f>
        <v>Morgan Stumbo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IFERROR(__xludf.DUMMYFUNCTION("""COMPUTED_VALUE"""),808)</f>
        <v>808</v>
      </c>
      <c r="B6" s="25" t="str">
        <f ca="1">IFERROR(__xludf.DUMMYFUNCTION("""COMPUTED_VALUE"""),"Shelby Weckerly")</f>
        <v>Shelby Weckerly</v>
      </c>
      <c r="C6" s="25" t="str">
        <f ca="1">IFERROR(__xludf.DUMMYFUNCTION("""COMPUTED_VALUE"""),"HPF Bulletproofs Bluesteel")</f>
        <v>HPF Bulletproofs Bluesteel</v>
      </c>
      <c r="D6" s="25" t="str">
        <f ca="1">IFERROR(__xludf.DUMMYFUNCTION("""COMPUTED_VALUE"""),"Shelby Weckerly")</f>
        <v>Shelby Weckerly</v>
      </c>
      <c r="E6" s="28">
        <v>3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IFERROR(__xludf.DUMMYFUNCTION("""COMPUTED_VALUE"""),887)</f>
        <v>887</v>
      </c>
      <c r="Q6" s="25" t="str">
        <f ca="1">IFERROR(__xludf.DUMMYFUNCTION("""COMPUTED_VALUE"""),"Sydney Dillard")</f>
        <v>Sydney Dillard</v>
      </c>
      <c r="R6" s="25" t="str">
        <f ca="1">IFERROR(__xludf.DUMMYFUNCTION("""COMPUTED_VALUE"""),"Elixir's Record Year")</f>
        <v>Elixir's Record Year</v>
      </c>
      <c r="S6" s="25" t="str">
        <f ca="1">IFERROR(__xludf.DUMMYFUNCTION("""COMPUTED_VALUE"""),"Sydney Dillard")</f>
        <v>Sydney Dillard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IFERROR(__xludf.DUMMYFUNCTION("""COMPUTED_VALUE"""),811)</f>
        <v>811</v>
      </c>
      <c r="B7" s="25" t="str">
        <f ca="1">IFERROR(__xludf.DUMMYFUNCTION("""COMPUTED_VALUE"""),"Julie Brown")</f>
        <v>Julie Brown</v>
      </c>
      <c r="C7" s="25" t="str">
        <f ca="1">IFERROR(__xludf.DUMMYFUNCTION("""COMPUTED_VALUE"""),"Elite's Hallelujah")</f>
        <v>Elite's Hallelujah</v>
      </c>
      <c r="D7" s="25" t="str">
        <f ca="1">IFERROR(__xludf.DUMMYFUNCTION("""COMPUTED_VALUE"""),"Julie Brown")</f>
        <v>Julie Brown</v>
      </c>
      <c r="E7" s="28">
        <v>7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IFERROR(__xludf.DUMMYFUNCTION("""COMPUTED_VALUE"""),639)</f>
        <v>639</v>
      </c>
      <c r="Q7" s="25" t="str">
        <f ca="1">IFERROR(__xludf.DUMMYFUNCTION("""COMPUTED_VALUE"""),"Peyton Gabbard")</f>
        <v>Peyton Gabbard</v>
      </c>
      <c r="R7" s="25" t="str">
        <f ca="1">IFERROR(__xludf.DUMMYFUNCTION("""COMPUTED_VALUE"""),"Pap'o Ole Charlie")</f>
        <v>Pap'o Ole Charlie</v>
      </c>
      <c r="S7" s="25" t="str">
        <f ca="1">IFERROR(__xludf.DUMMYFUNCTION("""COMPUTED_VALUE"""),"Peyton Gabbard")</f>
        <v>Peyton Gabbard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>
        <f ca="1">IFERROR(__xludf.DUMMYFUNCTION("""COMPUTED_VALUE"""),827)</f>
        <v>827</v>
      </c>
      <c r="B8" s="25" t="str">
        <f ca="1">IFERROR(__xludf.DUMMYFUNCTION("""COMPUTED_VALUE"""),"Breanna Hardin")</f>
        <v>Breanna Hardin</v>
      </c>
      <c r="C8" s="25" t="str">
        <f ca="1">IFERROR(__xludf.DUMMYFUNCTION("""COMPUTED_VALUE"""),"South Forty Step Into the Sun")</f>
        <v>South Forty Step Into the Sun</v>
      </c>
      <c r="D8" s="25" t="str">
        <f ca="1">IFERROR(__xludf.DUMMYFUNCTION("""COMPUTED_VALUE"""),"Breanna Hardin")</f>
        <v>Breanna Hardin</v>
      </c>
      <c r="E8" s="28">
        <v>6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IFERROR(__xludf.DUMMYFUNCTION("""COMPUTED_VALUE"""),314)</f>
        <v>314</v>
      </c>
      <c r="Q8" s="25" t="str">
        <f ca="1">IFERROR(__xludf.DUMMYFUNCTION("""COMPUTED_VALUE"""),"Charity Burton")</f>
        <v>Charity Burton</v>
      </c>
      <c r="R8" s="25" t="str">
        <f ca="1">IFERROR(__xludf.DUMMYFUNCTION("""COMPUTED_VALUE"""),"HF's Jack Black")</f>
        <v>HF's Jack Black</v>
      </c>
      <c r="S8" s="25" t="str">
        <f ca="1">IFERROR(__xludf.DUMMYFUNCTION("""COMPUTED_VALUE"""),"Charity Burton")</f>
        <v>Charity Burton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>
        <f ca="1">IFERROR(__xludf.DUMMYFUNCTION("""COMPUTED_VALUE"""),887)</f>
        <v>887</v>
      </c>
      <c r="B9" s="25" t="str">
        <f ca="1">IFERROR(__xludf.DUMMYFUNCTION("""COMPUTED_VALUE"""),"Sydney Dillard")</f>
        <v>Sydney Dillard</v>
      </c>
      <c r="C9" s="25" t="str">
        <f ca="1">IFERROR(__xludf.DUMMYFUNCTION("""COMPUTED_VALUE"""),"Elixir's Record Year")</f>
        <v>Elixir's Record Year</v>
      </c>
      <c r="D9" s="25" t="str">
        <f ca="1">IFERROR(__xludf.DUMMYFUNCTION("""COMPUTED_VALUE"""),"Sydney Dillard")</f>
        <v>Sydney Dillard</v>
      </c>
      <c r="E9" s="28">
        <v>4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IFERROR(__xludf.DUMMYFUNCTION("""COMPUTED_VALUE"""),827)</f>
        <v>827</v>
      </c>
      <c r="Q9" s="25" t="str">
        <f ca="1">IFERROR(__xludf.DUMMYFUNCTION("""COMPUTED_VALUE"""),"Breanna Hardin")</f>
        <v>Breanna Hardin</v>
      </c>
      <c r="R9" s="25" t="str">
        <f ca="1">IFERROR(__xludf.DUMMYFUNCTION("""COMPUTED_VALUE"""),"South Forty Step Into the Sun")</f>
        <v>South Forty Step Into the Sun</v>
      </c>
      <c r="S9" s="25" t="str">
        <f ca="1">IFERROR(__xludf.DUMMYFUNCTION("""COMPUTED_VALUE"""),"Breanna Hardin")</f>
        <v>Breanna Hardin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8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2 Name")</f>
        <v>Rider 2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8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4 Name")</f>
        <v>Rider 4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8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5 Name")</f>
        <v>Rider 5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8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 t="str">
        <f ca="1">IFERROR(__xludf.DUMMYFUNCTION("""COMPUTED_VALUE"""),"Back Number")</f>
        <v>Back Number</v>
      </c>
      <c r="Q13" s="25" t="str">
        <f ca="1">IFERROR(__xludf.DUMMYFUNCTION("""COMPUTED_VALUE"""),"Rider 6 Name")</f>
        <v>Rider 6 Name</v>
      </c>
      <c r="R13" s="25" t="str">
        <f ca="1">IFERROR(__xludf.DUMMYFUNCTION("""COMPUTED_VALUE"""),"Horse Name")</f>
        <v>Horse Name</v>
      </c>
      <c r="S13" s="25" t="str">
        <f ca="1">IFERROR(__xludf.DUMMYFUNCTION("""COMPUTED_VALUE"""),"Owner")</f>
        <v>Owner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8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8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8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8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8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8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8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8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8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8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8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8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8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8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8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8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8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8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8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8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8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8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8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8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8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">
      <c r="A39" s="16"/>
      <c r="E39" s="5"/>
    </row>
    <row r="40" spans="1:26" ht="15.75" customHeight="1" x14ac:dyDescent="0.2">
      <c r="A40" s="16"/>
      <c r="E40" s="5"/>
    </row>
    <row r="41" spans="1:26" ht="15.75" customHeight="1" x14ac:dyDescent="0.2">
      <c r="A41" s="16"/>
      <c r="E41" s="5"/>
    </row>
    <row r="42" spans="1:26" ht="15.75" customHeight="1" x14ac:dyDescent="0.2">
      <c r="A42" s="16"/>
      <c r="E42" s="5"/>
    </row>
    <row r="43" spans="1:26" ht="15.75" customHeight="1" x14ac:dyDescent="0.2">
      <c r="A43" s="16"/>
      <c r="E43" s="5"/>
    </row>
    <row r="44" spans="1:26" ht="15.75" customHeight="1" x14ac:dyDescent="0.2">
      <c r="A44" s="16"/>
      <c r="E44" s="5"/>
    </row>
    <row r="45" spans="1:26" ht="12.75" x14ac:dyDescent="0.2">
      <c r="A45" s="16"/>
      <c r="E45" s="5"/>
    </row>
    <row r="46" spans="1:26" ht="12.75" x14ac:dyDescent="0.2">
      <c r="A46" s="16"/>
      <c r="E46" s="5"/>
    </row>
    <row r="47" spans="1:26" ht="12.75" x14ac:dyDescent="0.2">
      <c r="A47" s="16"/>
      <c r="E47" s="5"/>
    </row>
    <row r="48" spans="1:26" ht="12.75" x14ac:dyDescent="0.2">
      <c r="A48" s="16"/>
      <c r="E48" s="5"/>
    </row>
    <row r="49" spans="1:5" ht="12.75" x14ac:dyDescent="0.2">
      <c r="A49" s="16"/>
      <c r="E49" s="5"/>
    </row>
    <row r="50" spans="1:5" ht="12.75" x14ac:dyDescent="0.2">
      <c r="A50" s="16"/>
      <c r="E50" s="5"/>
    </row>
    <row r="51" spans="1:5" ht="12.75" x14ac:dyDescent="0.2">
      <c r="A51" s="16"/>
      <c r="E51" s="5"/>
    </row>
    <row r="52" spans="1:5" ht="12.75" x14ac:dyDescent="0.2">
      <c r="A52" s="16"/>
      <c r="E52" s="5"/>
    </row>
    <row r="53" spans="1:5" ht="12.75" x14ac:dyDescent="0.2">
      <c r="A53" s="16"/>
      <c r="E53" s="5"/>
    </row>
    <row r="54" spans="1:5" ht="12.75" x14ac:dyDescent="0.2">
      <c r="A54" s="16"/>
      <c r="E54" s="5"/>
    </row>
    <row r="55" spans="1:5" ht="12.75" x14ac:dyDescent="0.2">
      <c r="A55" s="16"/>
      <c r="E55" s="5"/>
    </row>
    <row r="56" spans="1:5" ht="12.75" x14ac:dyDescent="0.2">
      <c r="A56" s="16"/>
      <c r="E56" s="5"/>
    </row>
    <row r="57" spans="1:5" ht="12.75" x14ac:dyDescent="0.2">
      <c r="A57" s="16"/>
      <c r="E57" s="5"/>
    </row>
    <row r="58" spans="1:5" ht="12.75" x14ac:dyDescent="0.2">
      <c r="A58" s="16"/>
      <c r="E58" s="5"/>
    </row>
    <row r="59" spans="1:5" ht="12.75" x14ac:dyDescent="0.2">
      <c r="A59" s="16"/>
      <c r="E59" s="5"/>
    </row>
    <row r="60" spans="1:5" ht="12.75" x14ac:dyDescent="0.2">
      <c r="A60" s="16"/>
      <c r="E60" s="5"/>
    </row>
    <row r="61" spans="1:5" ht="12.75" x14ac:dyDescent="0.2">
      <c r="A61" s="16"/>
      <c r="E61" s="5"/>
    </row>
    <row r="62" spans="1:5" ht="12.75" x14ac:dyDescent="0.2">
      <c r="A62" s="16"/>
      <c r="E62" s="5"/>
    </row>
    <row r="63" spans="1:5" ht="12.75" x14ac:dyDescent="0.2">
      <c r="A63" s="16"/>
      <c r="E63" s="5"/>
    </row>
    <row r="64" spans="1:5" ht="12.75" x14ac:dyDescent="0.2">
      <c r="A64" s="16"/>
      <c r="E64" s="5"/>
    </row>
    <row r="65" spans="1:5" ht="12.75" x14ac:dyDescent="0.2">
      <c r="A65" s="16"/>
      <c r="E65" s="5"/>
    </row>
    <row r="66" spans="1:5" ht="12.75" x14ac:dyDescent="0.2">
      <c r="A66" s="16"/>
      <c r="E66" s="5"/>
    </row>
    <row r="67" spans="1:5" ht="12.75" x14ac:dyDescent="0.2">
      <c r="A67" s="16"/>
      <c r="E67" s="5"/>
    </row>
    <row r="68" spans="1:5" ht="12.75" x14ac:dyDescent="0.2">
      <c r="A68" s="16"/>
      <c r="E68" s="5"/>
    </row>
    <row r="69" spans="1:5" ht="12.75" x14ac:dyDescent="0.2">
      <c r="A69" s="16"/>
      <c r="E69" s="5"/>
    </row>
    <row r="70" spans="1:5" ht="12.75" x14ac:dyDescent="0.2">
      <c r="A70" s="16"/>
      <c r="E70" s="5"/>
    </row>
    <row r="71" spans="1:5" ht="12.75" x14ac:dyDescent="0.2">
      <c r="A71" s="16"/>
      <c r="E71" s="5"/>
    </row>
    <row r="72" spans="1:5" ht="12.75" x14ac:dyDescent="0.2">
      <c r="A72" s="16"/>
      <c r="E72" s="5"/>
    </row>
    <row r="73" spans="1:5" ht="12.75" x14ac:dyDescent="0.2">
      <c r="A73" s="16"/>
      <c r="E73" s="5"/>
    </row>
    <row r="74" spans="1:5" ht="12.75" x14ac:dyDescent="0.2">
      <c r="A74" s="16"/>
      <c r="E74" s="5"/>
    </row>
    <row r="75" spans="1:5" ht="12.75" x14ac:dyDescent="0.2">
      <c r="A75" s="16"/>
      <c r="E75" s="5"/>
    </row>
    <row r="76" spans="1:5" ht="12.75" x14ac:dyDescent="0.2">
      <c r="A76" s="16"/>
      <c r="E76" s="5"/>
    </row>
    <row r="77" spans="1:5" ht="12.75" x14ac:dyDescent="0.2">
      <c r="A77" s="16"/>
      <c r="E77" s="5"/>
    </row>
    <row r="78" spans="1:5" ht="12.75" x14ac:dyDescent="0.2">
      <c r="A78" s="16"/>
      <c r="E78" s="5"/>
    </row>
    <row r="79" spans="1:5" ht="12.75" x14ac:dyDescent="0.2">
      <c r="A79" s="16"/>
      <c r="E79" s="5"/>
    </row>
    <row r="80" spans="1:5" ht="12.75" x14ac:dyDescent="0.2">
      <c r="A80" s="16"/>
      <c r="E80" s="5"/>
    </row>
    <row r="81" spans="1:5" ht="12.75" x14ac:dyDescent="0.2">
      <c r="A81" s="16"/>
      <c r="E81" s="5"/>
    </row>
    <row r="82" spans="1:5" ht="12.75" x14ac:dyDescent="0.2">
      <c r="A82" s="16"/>
      <c r="E82" s="5"/>
    </row>
    <row r="83" spans="1:5" ht="12.75" x14ac:dyDescent="0.2">
      <c r="A83" s="16"/>
      <c r="E83" s="5"/>
    </row>
    <row r="84" spans="1:5" ht="12.75" x14ac:dyDescent="0.2">
      <c r="A84" s="16"/>
      <c r="E84" s="5"/>
    </row>
    <row r="85" spans="1:5" ht="12.75" x14ac:dyDescent="0.2">
      <c r="A85" s="16"/>
      <c r="E85" s="5"/>
    </row>
    <row r="86" spans="1:5" ht="12.75" x14ac:dyDescent="0.2">
      <c r="A86" s="16"/>
      <c r="E86" s="5"/>
    </row>
    <row r="87" spans="1:5" ht="12.75" x14ac:dyDescent="0.2">
      <c r="A87" s="16"/>
      <c r="E87" s="5"/>
    </row>
    <row r="88" spans="1:5" ht="12.75" x14ac:dyDescent="0.2">
      <c r="A88" s="16"/>
      <c r="E88" s="5"/>
    </row>
    <row r="89" spans="1:5" ht="12.75" x14ac:dyDescent="0.2">
      <c r="A89" s="16"/>
      <c r="E89" s="5"/>
    </row>
    <row r="90" spans="1:5" ht="12.75" x14ac:dyDescent="0.2">
      <c r="A90" s="16"/>
      <c r="E90" s="5"/>
    </row>
    <row r="91" spans="1:5" ht="12.75" x14ac:dyDescent="0.2">
      <c r="A91" s="16"/>
      <c r="E91" s="5"/>
    </row>
    <row r="92" spans="1:5" ht="12.75" x14ac:dyDescent="0.2">
      <c r="A92" s="16"/>
      <c r="E92" s="5"/>
    </row>
    <row r="93" spans="1:5" ht="12.75" x14ac:dyDescent="0.2">
      <c r="A93" s="16"/>
      <c r="E93" s="5"/>
    </row>
    <row r="94" spans="1:5" ht="12.75" x14ac:dyDescent="0.2">
      <c r="A94" s="16"/>
      <c r="E94" s="5"/>
    </row>
    <row r="95" spans="1:5" ht="12.75" x14ac:dyDescent="0.2">
      <c r="A95" s="16"/>
      <c r="E95" s="5"/>
    </row>
    <row r="96" spans="1:5" ht="12.75" x14ac:dyDescent="0.2">
      <c r="A96" s="16"/>
      <c r="E96" s="5"/>
    </row>
    <row r="97" spans="1:5" ht="12.75" x14ac:dyDescent="0.2">
      <c r="A97" s="16"/>
      <c r="E97" s="5"/>
    </row>
    <row r="98" spans="1:5" ht="12.75" x14ac:dyDescent="0.2">
      <c r="A98" s="16"/>
      <c r="E98" s="5"/>
    </row>
    <row r="99" spans="1:5" ht="12.75" x14ac:dyDescent="0.2">
      <c r="A99" s="16"/>
      <c r="E99" s="5"/>
    </row>
    <row r="100" spans="1:5" ht="12.75" x14ac:dyDescent="0.2">
      <c r="A100" s="16"/>
      <c r="E100" s="5"/>
    </row>
    <row r="101" spans="1:5" ht="12.75" x14ac:dyDescent="0.2">
      <c r="A101" s="16"/>
      <c r="E101" s="5"/>
    </row>
    <row r="102" spans="1:5" ht="12.75" x14ac:dyDescent="0.2">
      <c r="A102" s="16"/>
      <c r="E102" s="5"/>
    </row>
    <row r="103" spans="1:5" ht="12.75" x14ac:dyDescent="0.2">
      <c r="A103" s="16"/>
      <c r="E103" s="5"/>
    </row>
    <row r="104" spans="1:5" ht="12.75" x14ac:dyDescent="0.2">
      <c r="A104" s="16"/>
      <c r="E104" s="5"/>
    </row>
    <row r="105" spans="1:5" ht="12.75" x14ac:dyDescent="0.2">
      <c r="A105" s="16"/>
      <c r="E105" s="5"/>
    </row>
    <row r="106" spans="1:5" ht="12.75" x14ac:dyDescent="0.2">
      <c r="A106" s="16"/>
      <c r="E106" s="5"/>
    </row>
    <row r="107" spans="1:5" ht="12.75" x14ac:dyDescent="0.2">
      <c r="A107" s="16"/>
      <c r="E107" s="5"/>
    </row>
    <row r="108" spans="1:5" ht="12.75" x14ac:dyDescent="0.2">
      <c r="A108" s="16"/>
      <c r="E108" s="5"/>
    </row>
    <row r="109" spans="1:5" ht="12.75" x14ac:dyDescent="0.2">
      <c r="A109" s="16"/>
      <c r="E109" s="5"/>
    </row>
    <row r="110" spans="1:5" ht="12.75" x14ac:dyDescent="0.2">
      <c r="A110" s="16"/>
      <c r="E110" s="5"/>
    </row>
    <row r="111" spans="1:5" ht="12.75" x14ac:dyDescent="0.2">
      <c r="A111" s="16"/>
      <c r="E111" s="5"/>
    </row>
    <row r="112" spans="1:5" ht="12.75" x14ac:dyDescent="0.2">
      <c r="A112" s="16"/>
      <c r="E112" s="5"/>
    </row>
    <row r="113" spans="1:5" ht="12.75" x14ac:dyDescent="0.2">
      <c r="A113" s="16"/>
      <c r="E113" s="5"/>
    </row>
    <row r="114" spans="1:5" ht="12.75" x14ac:dyDescent="0.2">
      <c r="A114" s="16"/>
      <c r="E114" s="5"/>
    </row>
    <row r="115" spans="1:5" ht="12.75" x14ac:dyDescent="0.2">
      <c r="A115" s="16"/>
      <c r="E115" s="5"/>
    </row>
    <row r="116" spans="1:5" ht="12.75" x14ac:dyDescent="0.2">
      <c r="A116" s="16"/>
      <c r="E116" s="5"/>
    </row>
    <row r="117" spans="1:5" ht="12.75" x14ac:dyDescent="0.2">
      <c r="A117" s="16"/>
      <c r="E117" s="5"/>
    </row>
    <row r="118" spans="1:5" ht="12.75" x14ac:dyDescent="0.2">
      <c r="A118" s="16"/>
      <c r="E118" s="5"/>
    </row>
    <row r="119" spans="1:5" ht="12.75" x14ac:dyDescent="0.2">
      <c r="A119" s="16"/>
      <c r="E119" s="5"/>
    </row>
    <row r="120" spans="1:5" ht="12.75" x14ac:dyDescent="0.2">
      <c r="A120" s="16"/>
      <c r="E120" s="5"/>
    </row>
    <row r="121" spans="1:5" ht="12.75" x14ac:dyDescent="0.2">
      <c r="A121" s="16"/>
      <c r="E121" s="5"/>
    </row>
    <row r="122" spans="1:5" ht="12.75" x14ac:dyDescent="0.2">
      <c r="A122" s="16"/>
      <c r="E122" s="5"/>
    </row>
    <row r="123" spans="1:5" ht="12.75" x14ac:dyDescent="0.2">
      <c r="A123" s="16"/>
      <c r="E123" s="5"/>
    </row>
    <row r="124" spans="1:5" ht="12.75" x14ac:dyDescent="0.2">
      <c r="A124" s="16"/>
      <c r="E124" s="5"/>
    </row>
    <row r="125" spans="1:5" ht="12.75" x14ac:dyDescent="0.2">
      <c r="A125" s="16"/>
      <c r="E125" s="5"/>
    </row>
    <row r="126" spans="1:5" ht="12.75" x14ac:dyDescent="0.2">
      <c r="A126" s="16"/>
      <c r="E126" s="5"/>
    </row>
    <row r="127" spans="1:5" ht="12.75" x14ac:dyDescent="0.2">
      <c r="A127" s="16"/>
      <c r="E127" s="5"/>
    </row>
    <row r="128" spans="1:5" ht="12.75" x14ac:dyDescent="0.2">
      <c r="A128" s="16"/>
      <c r="E128" s="5"/>
    </row>
    <row r="129" spans="1:5" ht="12.75" x14ac:dyDescent="0.2">
      <c r="A129" s="16"/>
      <c r="E129" s="5"/>
    </row>
    <row r="130" spans="1:5" ht="12.75" x14ac:dyDescent="0.2">
      <c r="A130" s="16"/>
      <c r="E130" s="5"/>
    </row>
    <row r="131" spans="1:5" ht="12.75" x14ac:dyDescent="0.2">
      <c r="A131" s="16"/>
      <c r="E131" s="5"/>
    </row>
    <row r="132" spans="1:5" ht="12.75" x14ac:dyDescent="0.2">
      <c r="A132" s="16"/>
      <c r="E132" s="5"/>
    </row>
    <row r="133" spans="1:5" ht="12.75" x14ac:dyDescent="0.2">
      <c r="A133" s="16"/>
      <c r="E133" s="5"/>
    </row>
    <row r="134" spans="1:5" ht="12.75" x14ac:dyDescent="0.2">
      <c r="A134" s="16"/>
      <c r="E134" s="5"/>
    </row>
    <row r="135" spans="1:5" ht="12.75" x14ac:dyDescent="0.2">
      <c r="A135" s="16"/>
      <c r="E135" s="5"/>
    </row>
    <row r="136" spans="1:5" ht="12.75" x14ac:dyDescent="0.2">
      <c r="A136" s="16"/>
      <c r="E136" s="5"/>
    </row>
    <row r="137" spans="1:5" ht="12.75" x14ac:dyDescent="0.2">
      <c r="A137" s="16"/>
      <c r="E137" s="5"/>
    </row>
    <row r="138" spans="1:5" ht="12.75" x14ac:dyDescent="0.2">
      <c r="A138" s="16"/>
      <c r="E138" s="5"/>
    </row>
    <row r="139" spans="1:5" ht="12.75" x14ac:dyDescent="0.2">
      <c r="A139" s="16"/>
      <c r="E139" s="5"/>
    </row>
    <row r="140" spans="1:5" ht="12.75" x14ac:dyDescent="0.2">
      <c r="A140" s="16"/>
      <c r="E140" s="5"/>
    </row>
    <row r="141" spans="1:5" ht="12.75" x14ac:dyDescent="0.2">
      <c r="A141" s="16"/>
      <c r="E141" s="5"/>
    </row>
    <row r="142" spans="1:5" ht="12.75" x14ac:dyDescent="0.2">
      <c r="A142" s="16"/>
      <c r="E142" s="5"/>
    </row>
    <row r="143" spans="1:5" ht="12.75" x14ac:dyDescent="0.2">
      <c r="A143" s="16"/>
      <c r="E143" s="5"/>
    </row>
    <row r="144" spans="1:5" ht="12.75" x14ac:dyDescent="0.2">
      <c r="A144" s="16"/>
      <c r="E144" s="5"/>
    </row>
    <row r="145" spans="1:5" ht="12.75" x14ac:dyDescent="0.2">
      <c r="A145" s="16"/>
      <c r="E145" s="5"/>
    </row>
    <row r="146" spans="1:5" ht="12.75" x14ac:dyDescent="0.2">
      <c r="A146" s="16"/>
      <c r="E146" s="5"/>
    </row>
    <row r="147" spans="1:5" ht="12.75" x14ac:dyDescent="0.2">
      <c r="A147" s="16"/>
      <c r="E147" s="5"/>
    </row>
    <row r="148" spans="1:5" ht="12.75" x14ac:dyDescent="0.2">
      <c r="A148" s="16"/>
      <c r="E148" s="5"/>
    </row>
    <row r="149" spans="1:5" ht="12.75" x14ac:dyDescent="0.2">
      <c r="A149" s="16"/>
      <c r="E149" s="5"/>
    </row>
    <row r="150" spans="1:5" ht="12.75" x14ac:dyDescent="0.2">
      <c r="A150" s="16"/>
      <c r="E150" s="5"/>
    </row>
    <row r="151" spans="1:5" ht="12.75" x14ac:dyDescent="0.2">
      <c r="A151" s="16"/>
      <c r="E151" s="5"/>
    </row>
    <row r="152" spans="1:5" ht="12.75" x14ac:dyDescent="0.2">
      <c r="A152" s="16"/>
      <c r="E152" s="5"/>
    </row>
    <row r="153" spans="1:5" ht="12.75" x14ac:dyDescent="0.2">
      <c r="A153" s="16"/>
      <c r="E153" s="5"/>
    </row>
    <row r="154" spans="1:5" ht="12.75" x14ac:dyDescent="0.2">
      <c r="A154" s="16"/>
      <c r="E154" s="5"/>
    </row>
    <row r="155" spans="1:5" ht="12.75" x14ac:dyDescent="0.2">
      <c r="A155" s="16"/>
      <c r="E155" s="5"/>
    </row>
    <row r="156" spans="1:5" ht="12.75" x14ac:dyDescent="0.2">
      <c r="A156" s="16"/>
      <c r="E156" s="5"/>
    </row>
    <row r="157" spans="1:5" ht="12.75" x14ac:dyDescent="0.2">
      <c r="A157" s="16"/>
      <c r="E157" s="5"/>
    </row>
    <row r="158" spans="1:5" ht="12.75" x14ac:dyDescent="0.2">
      <c r="A158" s="16"/>
      <c r="E158" s="5"/>
    </row>
    <row r="159" spans="1:5" ht="12.75" x14ac:dyDescent="0.2">
      <c r="A159" s="16"/>
      <c r="E159" s="5"/>
    </row>
    <row r="160" spans="1:5" ht="12.75" x14ac:dyDescent="0.2">
      <c r="A160" s="16"/>
      <c r="E160" s="5"/>
    </row>
    <row r="161" spans="1:5" ht="12.75" x14ac:dyDescent="0.2">
      <c r="A161" s="16"/>
      <c r="E161" s="5"/>
    </row>
    <row r="162" spans="1:5" ht="12.75" x14ac:dyDescent="0.2">
      <c r="A162" s="16"/>
      <c r="E162" s="5"/>
    </row>
    <row r="163" spans="1:5" ht="12.75" x14ac:dyDescent="0.2">
      <c r="A163" s="16"/>
      <c r="E163" s="5"/>
    </row>
    <row r="164" spans="1:5" ht="12.75" x14ac:dyDescent="0.2">
      <c r="A164" s="16"/>
      <c r="E164" s="5"/>
    </row>
    <row r="165" spans="1:5" ht="12.75" x14ac:dyDescent="0.2">
      <c r="A165" s="16"/>
      <c r="E165" s="5"/>
    </row>
    <row r="166" spans="1:5" ht="12.75" x14ac:dyDescent="0.2">
      <c r="A166" s="16"/>
      <c r="E166" s="5"/>
    </row>
    <row r="167" spans="1:5" ht="12.75" x14ac:dyDescent="0.2">
      <c r="A167" s="16"/>
      <c r="E167" s="5"/>
    </row>
    <row r="168" spans="1:5" ht="12.75" x14ac:dyDescent="0.2">
      <c r="A168" s="16"/>
      <c r="E168" s="5"/>
    </row>
    <row r="169" spans="1:5" ht="12.75" x14ac:dyDescent="0.2">
      <c r="A169" s="16"/>
      <c r="E169" s="5"/>
    </row>
    <row r="170" spans="1:5" ht="12.75" x14ac:dyDescent="0.2">
      <c r="A170" s="16"/>
      <c r="E170" s="5"/>
    </row>
    <row r="171" spans="1:5" ht="12.75" x14ac:dyDescent="0.2">
      <c r="A171" s="16"/>
      <c r="E171" s="5"/>
    </row>
    <row r="172" spans="1:5" ht="12.75" x14ac:dyDescent="0.2">
      <c r="A172" s="16"/>
      <c r="E172" s="5"/>
    </row>
    <row r="173" spans="1:5" ht="12.75" x14ac:dyDescent="0.2">
      <c r="A173" s="16"/>
      <c r="E173" s="5"/>
    </row>
    <row r="174" spans="1:5" ht="12.75" x14ac:dyDescent="0.2">
      <c r="A174" s="16"/>
      <c r="E174" s="5"/>
    </row>
    <row r="175" spans="1:5" ht="12.75" x14ac:dyDescent="0.2">
      <c r="A175" s="16"/>
      <c r="E175" s="5"/>
    </row>
    <row r="176" spans="1:5" ht="12.75" x14ac:dyDescent="0.2">
      <c r="A176" s="16"/>
      <c r="E176" s="5"/>
    </row>
    <row r="177" spans="1:5" ht="12.75" x14ac:dyDescent="0.2">
      <c r="A177" s="16"/>
      <c r="E177" s="5"/>
    </row>
    <row r="178" spans="1:5" ht="12.75" x14ac:dyDescent="0.2">
      <c r="A178" s="16"/>
      <c r="E178" s="5"/>
    </row>
    <row r="179" spans="1:5" ht="12.75" x14ac:dyDescent="0.2">
      <c r="A179" s="16"/>
      <c r="E179" s="5"/>
    </row>
    <row r="180" spans="1:5" ht="12.75" x14ac:dyDescent="0.2">
      <c r="A180" s="16"/>
      <c r="E180" s="5"/>
    </row>
    <row r="181" spans="1:5" ht="12.75" x14ac:dyDescent="0.2">
      <c r="A181" s="16"/>
      <c r="E181" s="5"/>
    </row>
    <row r="182" spans="1:5" ht="12.75" x14ac:dyDescent="0.2">
      <c r="A182" s="16"/>
      <c r="E182" s="5"/>
    </row>
    <row r="183" spans="1:5" ht="12.75" x14ac:dyDescent="0.2">
      <c r="A183" s="16"/>
      <c r="E183" s="5"/>
    </row>
    <row r="184" spans="1:5" ht="12.75" x14ac:dyDescent="0.2">
      <c r="A184" s="16"/>
      <c r="E184" s="5"/>
    </row>
    <row r="185" spans="1:5" ht="12.75" x14ac:dyDescent="0.2">
      <c r="A185" s="16"/>
      <c r="E185" s="5"/>
    </row>
    <row r="186" spans="1:5" ht="12.75" x14ac:dyDescent="0.2">
      <c r="A186" s="16"/>
      <c r="E186" s="5"/>
    </row>
    <row r="187" spans="1:5" ht="12.75" x14ac:dyDescent="0.2">
      <c r="A187" s="16"/>
      <c r="E187" s="5"/>
    </row>
    <row r="188" spans="1:5" ht="12.75" x14ac:dyDescent="0.2">
      <c r="A188" s="16"/>
      <c r="E188" s="5"/>
    </row>
    <row r="189" spans="1:5" ht="12.75" x14ac:dyDescent="0.2">
      <c r="A189" s="16"/>
      <c r="E189" s="5"/>
    </row>
    <row r="190" spans="1:5" ht="12.75" x14ac:dyDescent="0.2">
      <c r="A190" s="16"/>
      <c r="E190" s="5"/>
    </row>
    <row r="191" spans="1:5" ht="12.75" x14ac:dyDescent="0.2">
      <c r="A191" s="16"/>
      <c r="E191" s="5"/>
    </row>
    <row r="192" spans="1:5" ht="12.75" x14ac:dyDescent="0.2">
      <c r="A192" s="16"/>
      <c r="E192" s="5"/>
    </row>
    <row r="193" spans="1:5" ht="12.75" x14ac:dyDescent="0.2">
      <c r="A193" s="16"/>
      <c r="E193" s="5"/>
    </row>
    <row r="194" spans="1:5" ht="12.75" x14ac:dyDescent="0.2">
      <c r="A194" s="16"/>
      <c r="E194" s="5"/>
    </row>
    <row r="195" spans="1:5" ht="12.75" x14ac:dyDescent="0.2">
      <c r="A195" s="16"/>
      <c r="E195" s="5"/>
    </row>
    <row r="196" spans="1:5" ht="12.75" x14ac:dyDescent="0.2">
      <c r="A196" s="16"/>
      <c r="E196" s="5"/>
    </row>
    <row r="197" spans="1:5" ht="12.75" x14ac:dyDescent="0.2">
      <c r="A197" s="16"/>
      <c r="E197" s="5"/>
    </row>
    <row r="198" spans="1:5" ht="12.75" x14ac:dyDescent="0.2">
      <c r="A198" s="16"/>
      <c r="E198" s="5"/>
    </row>
    <row r="199" spans="1:5" ht="12.75" x14ac:dyDescent="0.2">
      <c r="A199" s="16"/>
      <c r="E199" s="5"/>
    </row>
    <row r="200" spans="1:5" ht="12.75" x14ac:dyDescent="0.2">
      <c r="A200" s="16"/>
      <c r="E200" s="5"/>
    </row>
    <row r="201" spans="1:5" ht="12.75" x14ac:dyDescent="0.2">
      <c r="A201" s="16"/>
      <c r="E201" s="5"/>
    </row>
    <row r="202" spans="1:5" ht="12.75" x14ac:dyDescent="0.2">
      <c r="A202" s="16"/>
      <c r="E202" s="5"/>
    </row>
    <row r="203" spans="1:5" ht="12.75" x14ac:dyDescent="0.2">
      <c r="A203" s="16"/>
      <c r="E203" s="5"/>
    </row>
    <row r="204" spans="1:5" ht="12.75" x14ac:dyDescent="0.2">
      <c r="A204" s="16"/>
      <c r="E204" s="5"/>
    </row>
    <row r="205" spans="1:5" ht="12.75" x14ac:dyDescent="0.2">
      <c r="A205" s="16"/>
      <c r="E205" s="5"/>
    </row>
    <row r="206" spans="1:5" ht="12.75" x14ac:dyDescent="0.2">
      <c r="A206" s="16"/>
      <c r="E206" s="5"/>
    </row>
    <row r="207" spans="1:5" ht="12.75" x14ac:dyDescent="0.2">
      <c r="A207" s="16"/>
      <c r="E207" s="5"/>
    </row>
    <row r="208" spans="1:5" ht="12.75" x14ac:dyDescent="0.2">
      <c r="A208" s="16"/>
      <c r="E208" s="5"/>
    </row>
    <row r="209" spans="1:5" ht="12.75" x14ac:dyDescent="0.2">
      <c r="A209" s="16"/>
      <c r="E209" s="5"/>
    </row>
    <row r="210" spans="1:5" ht="12.75" x14ac:dyDescent="0.2">
      <c r="A210" s="16"/>
      <c r="E210" s="5"/>
    </row>
    <row r="211" spans="1:5" ht="12.75" x14ac:dyDescent="0.2">
      <c r="A211" s="16"/>
      <c r="E211" s="5"/>
    </row>
    <row r="212" spans="1:5" ht="12.75" x14ac:dyDescent="0.2">
      <c r="A212" s="16"/>
      <c r="E212" s="5"/>
    </row>
    <row r="213" spans="1:5" ht="12.75" x14ac:dyDescent="0.2">
      <c r="A213" s="16"/>
      <c r="E213" s="5"/>
    </row>
    <row r="214" spans="1:5" ht="12.75" x14ac:dyDescent="0.2">
      <c r="A214" s="16"/>
      <c r="E214" s="5"/>
    </row>
    <row r="215" spans="1:5" ht="12.75" x14ac:dyDescent="0.2">
      <c r="A215" s="16"/>
      <c r="E215" s="5"/>
    </row>
    <row r="216" spans="1:5" ht="12.75" x14ac:dyDescent="0.2">
      <c r="A216" s="16"/>
      <c r="E216" s="5"/>
    </row>
    <row r="217" spans="1:5" ht="12.75" x14ac:dyDescent="0.2">
      <c r="A217" s="16"/>
      <c r="E217" s="5"/>
    </row>
    <row r="218" spans="1:5" ht="12.75" x14ac:dyDescent="0.2">
      <c r="A218" s="16"/>
      <c r="E218" s="5"/>
    </row>
    <row r="219" spans="1:5" ht="12.75" x14ac:dyDescent="0.2">
      <c r="A219" s="16"/>
      <c r="E219" s="5"/>
    </row>
    <row r="220" spans="1:5" ht="12.75" x14ac:dyDescent="0.2">
      <c r="A220" s="16"/>
      <c r="E220" s="5"/>
    </row>
    <row r="221" spans="1:5" ht="12.75" x14ac:dyDescent="0.2">
      <c r="A221" s="16"/>
      <c r="E221" s="5"/>
    </row>
    <row r="222" spans="1:5" ht="12.75" x14ac:dyDescent="0.2">
      <c r="A222" s="16"/>
      <c r="E222" s="5"/>
    </row>
    <row r="223" spans="1:5" ht="12.75" x14ac:dyDescent="0.2">
      <c r="A223" s="16"/>
      <c r="E223" s="5"/>
    </row>
    <row r="224" spans="1:5" ht="12.75" x14ac:dyDescent="0.2">
      <c r="A224" s="16"/>
      <c r="E224" s="5"/>
    </row>
    <row r="225" spans="1:5" ht="12.75" x14ac:dyDescent="0.2">
      <c r="A225" s="16"/>
      <c r="E225" s="5"/>
    </row>
    <row r="226" spans="1:5" ht="12.75" x14ac:dyDescent="0.2">
      <c r="A226" s="16"/>
      <c r="E226" s="5"/>
    </row>
    <row r="227" spans="1:5" ht="12.75" x14ac:dyDescent="0.2">
      <c r="A227" s="16"/>
      <c r="E227" s="5"/>
    </row>
    <row r="228" spans="1:5" ht="12.75" x14ac:dyDescent="0.2">
      <c r="A228" s="16"/>
      <c r="E228" s="5"/>
    </row>
    <row r="229" spans="1:5" ht="12.75" x14ac:dyDescent="0.2">
      <c r="A229" s="16"/>
      <c r="E229" s="5"/>
    </row>
    <row r="230" spans="1:5" ht="12.75" x14ac:dyDescent="0.2">
      <c r="A230" s="16"/>
      <c r="E230" s="5"/>
    </row>
    <row r="231" spans="1:5" ht="12.75" x14ac:dyDescent="0.2">
      <c r="A231" s="16"/>
      <c r="E231" s="5"/>
    </row>
    <row r="232" spans="1:5" ht="12.75" x14ac:dyDescent="0.2">
      <c r="A232" s="16"/>
      <c r="E232" s="5"/>
    </row>
    <row r="233" spans="1:5" ht="12.75" x14ac:dyDescent="0.2">
      <c r="A233" s="16"/>
      <c r="E233" s="5"/>
    </row>
    <row r="234" spans="1:5" ht="12.75" x14ac:dyDescent="0.2">
      <c r="A234" s="16"/>
      <c r="E234" s="5"/>
    </row>
    <row r="235" spans="1:5" ht="12.75" x14ac:dyDescent="0.2">
      <c r="A235" s="16"/>
      <c r="E235" s="5"/>
    </row>
    <row r="236" spans="1:5" ht="12.75" x14ac:dyDescent="0.2">
      <c r="A236" s="16"/>
      <c r="E236" s="5"/>
    </row>
    <row r="237" spans="1:5" ht="12.75" x14ac:dyDescent="0.2">
      <c r="A237" s="16"/>
      <c r="E237" s="5"/>
    </row>
    <row r="238" spans="1:5" ht="12.75" x14ac:dyDescent="0.2">
      <c r="A238" s="16"/>
      <c r="E238" s="5"/>
    </row>
    <row r="239" spans="1:5" ht="12.75" x14ac:dyDescent="0.2">
      <c r="A239" s="16"/>
      <c r="E239" s="5"/>
    </row>
    <row r="240" spans="1:5" ht="12.75" x14ac:dyDescent="0.2">
      <c r="A240" s="16"/>
      <c r="E240" s="5"/>
    </row>
    <row r="241" spans="1:5" ht="12.75" x14ac:dyDescent="0.2">
      <c r="A241" s="16"/>
      <c r="E241" s="5"/>
    </row>
    <row r="242" spans="1:5" ht="12.75" x14ac:dyDescent="0.2">
      <c r="A242" s="16"/>
      <c r="E242" s="5"/>
    </row>
    <row r="243" spans="1:5" ht="12.75" x14ac:dyDescent="0.2">
      <c r="A243" s="16"/>
      <c r="E243" s="5"/>
    </row>
    <row r="244" spans="1:5" ht="12.75" x14ac:dyDescent="0.2">
      <c r="A244" s="16"/>
      <c r="E244" s="5"/>
    </row>
    <row r="245" spans="1:5" ht="12.75" x14ac:dyDescent="0.2">
      <c r="A245" s="16"/>
      <c r="E245" s="5"/>
    </row>
    <row r="246" spans="1:5" ht="12.75" x14ac:dyDescent="0.2">
      <c r="A246" s="16"/>
      <c r="E246" s="5"/>
    </row>
    <row r="247" spans="1:5" ht="12.75" x14ac:dyDescent="0.2">
      <c r="A247" s="16"/>
      <c r="E247" s="5"/>
    </row>
    <row r="248" spans="1:5" ht="12.75" x14ac:dyDescent="0.2">
      <c r="A248" s="16"/>
      <c r="E248" s="5"/>
    </row>
    <row r="249" spans="1:5" ht="12.75" x14ac:dyDescent="0.2">
      <c r="A249" s="16"/>
      <c r="E249" s="5"/>
    </row>
    <row r="250" spans="1:5" ht="12.75" x14ac:dyDescent="0.2">
      <c r="A250" s="16"/>
      <c r="E250" s="5"/>
    </row>
    <row r="251" spans="1:5" ht="12.75" x14ac:dyDescent="0.2">
      <c r="A251" s="16"/>
      <c r="E251" s="5"/>
    </row>
    <row r="252" spans="1:5" ht="12.75" x14ac:dyDescent="0.2">
      <c r="A252" s="16"/>
      <c r="E252" s="5"/>
    </row>
    <row r="253" spans="1:5" ht="12.75" x14ac:dyDescent="0.2">
      <c r="A253" s="16"/>
      <c r="E253" s="5"/>
    </row>
    <row r="254" spans="1:5" ht="12.75" x14ac:dyDescent="0.2">
      <c r="A254" s="16"/>
      <c r="E254" s="5"/>
    </row>
    <row r="255" spans="1:5" ht="12.75" x14ac:dyDescent="0.2">
      <c r="A255" s="16"/>
      <c r="E255" s="5"/>
    </row>
    <row r="256" spans="1:5" ht="12.75" x14ac:dyDescent="0.2">
      <c r="A256" s="16"/>
      <c r="E256" s="5"/>
    </row>
    <row r="257" spans="1:5" ht="12.75" x14ac:dyDescent="0.2">
      <c r="A257" s="16"/>
      <c r="E257" s="5"/>
    </row>
    <row r="258" spans="1:5" ht="12.75" x14ac:dyDescent="0.2">
      <c r="A258" s="16"/>
      <c r="E258" s="5"/>
    </row>
    <row r="259" spans="1:5" ht="12.75" x14ac:dyDescent="0.2">
      <c r="A259" s="16"/>
      <c r="E259" s="5"/>
    </row>
    <row r="260" spans="1:5" ht="12.75" x14ac:dyDescent="0.2">
      <c r="A260" s="16"/>
      <c r="E260" s="5"/>
    </row>
    <row r="261" spans="1:5" ht="12.75" x14ac:dyDescent="0.2">
      <c r="A261" s="16"/>
      <c r="E261" s="5"/>
    </row>
    <row r="262" spans="1:5" ht="12.75" x14ac:dyDescent="0.2">
      <c r="A262" s="16"/>
      <c r="E262" s="5"/>
    </row>
    <row r="263" spans="1:5" ht="12.75" x14ac:dyDescent="0.2">
      <c r="A263" s="16"/>
      <c r="E263" s="5"/>
    </row>
    <row r="264" spans="1:5" ht="12.75" x14ac:dyDescent="0.2">
      <c r="A264" s="16"/>
      <c r="E264" s="5"/>
    </row>
    <row r="265" spans="1:5" ht="12.75" x14ac:dyDescent="0.2">
      <c r="A265" s="16"/>
      <c r="E265" s="5"/>
    </row>
    <row r="266" spans="1:5" ht="12.75" x14ac:dyDescent="0.2">
      <c r="A266" s="16"/>
      <c r="E266" s="5"/>
    </row>
    <row r="267" spans="1:5" ht="12.75" x14ac:dyDescent="0.2">
      <c r="A267" s="16"/>
      <c r="E267" s="5"/>
    </row>
    <row r="268" spans="1:5" ht="12.75" x14ac:dyDescent="0.2">
      <c r="A268" s="16"/>
      <c r="E268" s="5"/>
    </row>
    <row r="269" spans="1:5" ht="12.75" x14ac:dyDescent="0.2">
      <c r="A269" s="16"/>
      <c r="E269" s="5"/>
    </row>
    <row r="270" spans="1:5" ht="12.75" x14ac:dyDescent="0.2">
      <c r="A270" s="16"/>
      <c r="E270" s="5"/>
    </row>
    <row r="271" spans="1:5" ht="12.75" x14ac:dyDescent="0.2">
      <c r="A271" s="16"/>
      <c r="E271" s="5"/>
    </row>
    <row r="272" spans="1:5" ht="12.75" x14ac:dyDescent="0.2">
      <c r="A272" s="16"/>
      <c r="E272" s="5"/>
    </row>
    <row r="273" spans="1:5" ht="12.75" x14ac:dyDescent="0.2">
      <c r="A273" s="16"/>
      <c r="E273" s="5"/>
    </row>
    <row r="274" spans="1:5" ht="12.75" x14ac:dyDescent="0.2">
      <c r="A274" s="16"/>
      <c r="E274" s="5"/>
    </row>
    <row r="275" spans="1:5" ht="12.75" x14ac:dyDescent="0.2">
      <c r="A275" s="16"/>
      <c r="E275" s="5"/>
    </row>
    <row r="276" spans="1:5" ht="12.75" x14ac:dyDescent="0.2">
      <c r="A276" s="16"/>
      <c r="E276" s="5"/>
    </row>
    <row r="277" spans="1:5" ht="12.75" x14ac:dyDescent="0.2">
      <c r="A277" s="16"/>
      <c r="E277" s="5"/>
    </row>
    <row r="278" spans="1:5" ht="12.75" x14ac:dyDescent="0.2">
      <c r="A278" s="16"/>
      <c r="E278" s="5"/>
    </row>
    <row r="279" spans="1:5" ht="12.75" x14ac:dyDescent="0.2">
      <c r="A279" s="16"/>
      <c r="E279" s="5"/>
    </row>
    <row r="280" spans="1:5" ht="12.75" x14ac:dyDescent="0.2">
      <c r="A280" s="16"/>
      <c r="E280" s="5"/>
    </row>
    <row r="281" spans="1:5" ht="12.75" x14ac:dyDescent="0.2">
      <c r="A281" s="16"/>
      <c r="E281" s="5"/>
    </row>
    <row r="282" spans="1:5" ht="12.75" x14ac:dyDescent="0.2">
      <c r="A282" s="16"/>
      <c r="E282" s="5"/>
    </row>
    <row r="283" spans="1:5" ht="12.75" x14ac:dyDescent="0.2">
      <c r="A283" s="16"/>
      <c r="E283" s="5"/>
    </row>
    <row r="284" spans="1:5" ht="12.75" x14ac:dyDescent="0.2">
      <c r="A284" s="16"/>
      <c r="E284" s="5"/>
    </row>
    <row r="285" spans="1:5" ht="12.75" x14ac:dyDescent="0.2">
      <c r="A285" s="16"/>
      <c r="E285" s="5"/>
    </row>
    <row r="286" spans="1:5" ht="12.75" x14ac:dyDescent="0.2">
      <c r="A286" s="16"/>
      <c r="E286" s="5"/>
    </row>
    <row r="287" spans="1:5" ht="12.75" x14ac:dyDescent="0.2">
      <c r="A287" s="16"/>
      <c r="E287" s="5"/>
    </row>
    <row r="288" spans="1:5" ht="12.75" x14ac:dyDescent="0.2">
      <c r="A288" s="16"/>
      <c r="E288" s="5"/>
    </row>
    <row r="289" spans="1:5" ht="12.75" x14ac:dyDescent="0.2">
      <c r="A289" s="16"/>
      <c r="E289" s="5"/>
    </row>
    <row r="290" spans="1:5" ht="12.75" x14ac:dyDescent="0.2">
      <c r="A290" s="16"/>
      <c r="E290" s="5"/>
    </row>
    <row r="291" spans="1:5" ht="12.75" x14ac:dyDescent="0.2">
      <c r="A291" s="16"/>
      <c r="E291" s="5"/>
    </row>
    <row r="292" spans="1:5" ht="12.75" x14ac:dyDescent="0.2">
      <c r="A292" s="16"/>
      <c r="E292" s="5"/>
    </row>
    <row r="293" spans="1:5" ht="12.75" x14ac:dyDescent="0.2">
      <c r="A293" s="16"/>
      <c r="E293" s="5"/>
    </row>
    <row r="294" spans="1:5" ht="12.75" x14ac:dyDescent="0.2">
      <c r="A294" s="16"/>
      <c r="E294" s="5"/>
    </row>
    <row r="295" spans="1:5" ht="12.75" x14ac:dyDescent="0.2">
      <c r="A295" s="16"/>
      <c r="E295" s="5"/>
    </row>
    <row r="296" spans="1:5" ht="12.75" x14ac:dyDescent="0.2">
      <c r="A296" s="16"/>
      <c r="E296" s="5"/>
    </row>
    <row r="297" spans="1:5" ht="12.75" x14ac:dyDescent="0.2">
      <c r="A297" s="16"/>
      <c r="E297" s="5"/>
    </row>
    <row r="298" spans="1:5" ht="12.75" x14ac:dyDescent="0.2">
      <c r="A298" s="16"/>
      <c r="E298" s="5"/>
    </row>
    <row r="299" spans="1:5" ht="12.75" x14ac:dyDescent="0.2">
      <c r="A299" s="16"/>
      <c r="E299" s="5"/>
    </row>
    <row r="300" spans="1:5" ht="12.75" x14ac:dyDescent="0.2">
      <c r="A300" s="16"/>
      <c r="E300" s="5"/>
    </row>
    <row r="301" spans="1:5" ht="12.75" x14ac:dyDescent="0.2">
      <c r="A301" s="16"/>
      <c r="E301" s="5"/>
    </row>
    <row r="302" spans="1:5" ht="12.75" x14ac:dyDescent="0.2">
      <c r="A302" s="16"/>
      <c r="E302" s="5"/>
    </row>
    <row r="303" spans="1:5" ht="12.75" x14ac:dyDescent="0.2">
      <c r="A303" s="16"/>
      <c r="E303" s="5"/>
    </row>
    <row r="304" spans="1:5" ht="12.75" x14ac:dyDescent="0.2">
      <c r="A304" s="16"/>
      <c r="E304" s="5"/>
    </row>
    <row r="305" spans="1:5" ht="12.75" x14ac:dyDescent="0.2">
      <c r="A305" s="16"/>
      <c r="E305" s="5"/>
    </row>
    <row r="306" spans="1:5" ht="12.75" x14ac:dyDescent="0.2">
      <c r="A306" s="16"/>
      <c r="E306" s="5"/>
    </row>
    <row r="307" spans="1:5" ht="12.75" x14ac:dyDescent="0.2">
      <c r="A307" s="16"/>
      <c r="E307" s="5"/>
    </row>
    <row r="308" spans="1:5" ht="12.75" x14ac:dyDescent="0.2">
      <c r="A308" s="16"/>
      <c r="E308" s="5"/>
    </row>
    <row r="309" spans="1:5" ht="12.75" x14ac:dyDescent="0.2">
      <c r="A309" s="16"/>
      <c r="E309" s="5"/>
    </row>
    <row r="310" spans="1:5" ht="12.75" x14ac:dyDescent="0.2">
      <c r="A310" s="16"/>
      <c r="E310" s="5"/>
    </row>
    <row r="311" spans="1:5" ht="12.75" x14ac:dyDescent="0.2">
      <c r="A311" s="16"/>
      <c r="E311" s="5"/>
    </row>
    <row r="312" spans="1:5" ht="12.75" x14ac:dyDescent="0.2">
      <c r="A312" s="16"/>
      <c r="E312" s="5"/>
    </row>
    <row r="313" spans="1:5" ht="12.75" x14ac:dyDescent="0.2">
      <c r="A313" s="16"/>
      <c r="E313" s="5"/>
    </row>
    <row r="314" spans="1:5" ht="12.75" x14ac:dyDescent="0.2">
      <c r="A314" s="16"/>
      <c r="E314" s="5"/>
    </row>
    <row r="315" spans="1:5" ht="12.75" x14ac:dyDescent="0.2">
      <c r="A315" s="16"/>
      <c r="E315" s="5"/>
    </row>
    <row r="316" spans="1:5" ht="12.75" x14ac:dyDescent="0.2">
      <c r="A316" s="16"/>
      <c r="E316" s="5"/>
    </row>
    <row r="317" spans="1:5" ht="12.75" x14ac:dyDescent="0.2">
      <c r="A317" s="16"/>
      <c r="E317" s="5"/>
    </row>
    <row r="318" spans="1:5" ht="12.75" x14ac:dyDescent="0.2">
      <c r="A318" s="16"/>
      <c r="E318" s="5"/>
    </row>
    <row r="319" spans="1:5" ht="12.75" x14ac:dyDescent="0.2">
      <c r="A319" s="16"/>
      <c r="E319" s="5"/>
    </row>
    <row r="320" spans="1:5" ht="12.75" x14ac:dyDescent="0.2">
      <c r="A320" s="16"/>
      <c r="E320" s="5"/>
    </row>
    <row r="321" spans="1:5" ht="12.75" x14ac:dyDescent="0.2">
      <c r="A321" s="16"/>
      <c r="E321" s="5"/>
    </row>
    <row r="322" spans="1:5" ht="12.75" x14ac:dyDescent="0.2">
      <c r="A322" s="16"/>
      <c r="E322" s="5"/>
    </row>
    <row r="323" spans="1:5" ht="12.75" x14ac:dyDescent="0.2">
      <c r="A323" s="16"/>
      <c r="E323" s="5"/>
    </row>
    <row r="324" spans="1:5" ht="12.75" x14ac:dyDescent="0.2">
      <c r="A324" s="16"/>
      <c r="E324" s="5"/>
    </row>
    <row r="325" spans="1:5" ht="12.75" x14ac:dyDescent="0.2">
      <c r="A325" s="16"/>
      <c r="E325" s="5"/>
    </row>
    <row r="326" spans="1:5" ht="12.75" x14ac:dyDescent="0.2">
      <c r="A326" s="16"/>
      <c r="E326" s="5"/>
    </row>
    <row r="327" spans="1:5" ht="12.75" x14ac:dyDescent="0.2">
      <c r="A327" s="16"/>
      <c r="E327" s="5"/>
    </row>
    <row r="328" spans="1:5" ht="12.75" x14ac:dyDescent="0.2">
      <c r="A328" s="16"/>
      <c r="E328" s="5"/>
    </row>
    <row r="329" spans="1:5" ht="12.75" x14ac:dyDescent="0.2">
      <c r="A329" s="16"/>
      <c r="E329" s="5"/>
    </row>
    <row r="330" spans="1:5" ht="12.75" x14ac:dyDescent="0.2">
      <c r="A330" s="16"/>
      <c r="E330" s="5"/>
    </row>
    <row r="331" spans="1:5" ht="12.75" x14ac:dyDescent="0.2">
      <c r="A331" s="16"/>
      <c r="E331" s="5"/>
    </row>
    <row r="332" spans="1:5" ht="12.75" x14ac:dyDescent="0.2">
      <c r="A332" s="16"/>
      <c r="E332" s="5"/>
    </row>
    <row r="333" spans="1:5" ht="12.75" x14ac:dyDescent="0.2">
      <c r="A333" s="16"/>
      <c r="E333" s="5"/>
    </row>
    <row r="334" spans="1:5" ht="12.75" x14ac:dyDescent="0.2">
      <c r="A334" s="16"/>
      <c r="E334" s="5"/>
    </row>
    <row r="335" spans="1:5" ht="12.75" x14ac:dyDescent="0.2">
      <c r="A335" s="16"/>
      <c r="E335" s="5"/>
    </row>
    <row r="336" spans="1:5" ht="12.75" x14ac:dyDescent="0.2">
      <c r="A336" s="16"/>
      <c r="E336" s="5"/>
    </row>
    <row r="337" spans="1:5" ht="12.75" x14ac:dyDescent="0.2">
      <c r="A337" s="16"/>
      <c r="E337" s="5"/>
    </row>
    <row r="338" spans="1:5" ht="12.75" x14ac:dyDescent="0.2">
      <c r="A338" s="16"/>
      <c r="E338" s="5"/>
    </row>
    <row r="339" spans="1:5" ht="12.75" x14ac:dyDescent="0.2">
      <c r="A339" s="16"/>
      <c r="E339" s="5"/>
    </row>
    <row r="340" spans="1:5" ht="12.75" x14ac:dyDescent="0.2">
      <c r="A340" s="16"/>
      <c r="E340" s="5"/>
    </row>
    <row r="341" spans="1:5" ht="12.75" x14ac:dyDescent="0.2">
      <c r="A341" s="16"/>
      <c r="E341" s="5"/>
    </row>
    <row r="342" spans="1:5" ht="12.75" x14ac:dyDescent="0.2">
      <c r="A342" s="16"/>
      <c r="E342" s="5"/>
    </row>
    <row r="343" spans="1:5" ht="12.75" x14ac:dyDescent="0.2">
      <c r="A343" s="16"/>
      <c r="E343" s="5"/>
    </row>
    <row r="344" spans="1:5" ht="12.75" x14ac:dyDescent="0.2">
      <c r="A344" s="16"/>
      <c r="E344" s="5"/>
    </row>
    <row r="345" spans="1:5" ht="12.75" x14ac:dyDescent="0.2">
      <c r="A345" s="16"/>
      <c r="E345" s="5"/>
    </row>
    <row r="346" spans="1:5" ht="12.75" x14ac:dyDescent="0.2">
      <c r="A346" s="16"/>
      <c r="E346" s="5"/>
    </row>
    <row r="347" spans="1:5" ht="12.75" x14ac:dyDescent="0.2">
      <c r="A347" s="16"/>
      <c r="E347" s="5"/>
    </row>
    <row r="348" spans="1:5" ht="12.75" x14ac:dyDescent="0.2">
      <c r="A348" s="16"/>
      <c r="E348" s="5"/>
    </row>
    <row r="349" spans="1:5" ht="12.75" x14ac:dyDescent="0.2">
      <c r="A349" s="16"/>
      <c r="E349" s="5"/>
    </row>
    <row r="350" spans="1:5" ht="12.75" x14ac:dyDescent="0.2">
      <c r="A350" s="16"/>
      <c r="E350" s="5"/>
    </row>
    <row r="351" spans="1:5" ht="12.75" x14ac:dyDescent="0.2">
      <c r="A351" s="16"/>
      <c r="E351" s="5"/>
    </row>
    <row r="352" spans="1:5" ht="12.75" x14ac:dyDescent="0.2">
      <c r="A352" s="16"/>
      <c r="E352" s="5"/>
    </row>
    <row r="353" spans="1:5" ht="12.75" x14ac:dyDescent="0.2">
      <c r="A353" s="16"/>
      <c r="E353" s="5"/>
    </row>
    <row r="354" spans="1:5" ht="12.75" x14ac:dyDescent="0.2">
      <c r="A354" s="16"/>
      <c r="E354" s="5"/>
    </row>
    <row r="355" spans="1:5" ht="12.75" x14ac:dyDescent="0.2">
      <c r="A355" s="16"/>
      <c r="E355" s="5"/>
    </row>
    <row r="356" spans="1:5" ht="12.75" x14ac:dyDescent="0.2">
      <c r="A356" s="16"/>
      <c r="E356" s="5"/>
    </row>
    <row r="357" spans="1:5" ht="12.75" x14ac:dyDescent="0.2">
      <c r="A357" s="16"/>
      <c r="E357" s="5"/>
    </row>
    <row r="358" spans="1:5" ht="12.75" x14ac:dyDescent="0.2">
      <c r="A358" s="16"/>
      <c r="E358" s="5"/>
    </row>
    <row r="359" spans="1:5" ht="12.75" x14ac:dyDescent="0.2">
      <c r="A359" s="16"/>
      <c r="E359" s="5"/>
    </row>
    <row r="360" spans="1:5" ht="12.75" x14ac:dyDescent="0.2">
      <c r="A360" s="16"/>
      <c r="E360" s="5"/>
    </row>
    <row r="361" spans="1:5" ht="12.75" x14ac:dyDescent="0.2">
      <c r="A361" s="16"/>
      <c r="E361" s="5"/>
    </row>
    <row r="362" spans="1:5" ht="12.75" x14ac:dyDescent="0.2">
      <c r="A362" s="16"/>
      <c r="E362" s="5"/>
    </row>
    <row r="363" spans="1:5" ht="12.75" x14ac:dyDescent="0.2">
      <c r="A363" s="16"/>
      <c r="E363" s="5"/>
    </row>
    <row r="364" spans="1:5" ht="12.75" x14ac:dyDescent="0.2">
      <c r="A364" s="16"/>
      <c r="E364" s="5"/>
    </row>
    <row r="365" spans="1:5" ht="12.75" x14ac:dyDescent="0.2">
      <c r="A365" s="16"/>
      <c r="E365" s="5"/>
    </row>
    <row r="366" spans="1:5" ht="12.75" x14ac:dyDescent="0.2">
      <c r="A366" s="16"/>
      <c r="E366" s="5"/>
    </row>
    <row r="367" spans="1:5" ht="12.75" x14ac:dyDescent="0.2">
      <c r="A367" s="16"/>
      <c r="E367" s="5"/>
    </row>
    <row r="368" spans="1:5" ht="12.75" x14ac:dyDescent="0.2">
      <c r="A368" s="16"/>
      <c r="E368" s="5"/>
    </row>
    <row r="369" spans="1:5" ht="12.75" x14ac:dyDescent="0.2">
      <c r="A369" s="16"/>
      <c r="E369" s="5"/>
    </row>
    <row r="370" spans="1:5" ht="12.75" x14ac:dyDescent="0.2">
      <c r="A370" s="16"/>
      <c r="E370" s="5"/>
    </row>
    <row r="371" spans="1:5" ht="12.75" x14ac:dyDescent="0.2">
      <c r="A371" s="16"/>
      <c r="E371" s="5"/>
    </row>
    <row r="372" spans="1:5" ht="12.75" x14ac:dyDescent="0.2">
      <c r="A372" s="16"/>
      <c r="E372" s="5"/>
    </row>
    <row r="373" spans="1:5" ht="12.75" x14ac:dyDescent="0.2">
      <c r="A373" s="16"/>
      <c r="E373" s="5"/>
    </row>
    <row r="374" spans="1:5" ht="12.75" x14ac:dyDescent="0.2">
      <c r="A374" s="16"/>
      <c r="E374" s="5"/>
    </row>
    <row r="375" spans="1:5" ht="12.75" x14ac:dyDescent="0.2">
      <c r="A375" s="16"/>
      <c r="E375" s="5"/>
    </row>
    <row r="376" spans="1:5" ht="12.75" x14ac:dyDescent="0.2">
      <c r="A376" s="16"/>
      <c r="E376" s="5"/>
    </row>
    <row r="377" spans="1:5" ht="12.75" x14ac:dyDescent="0.2">
      <c r="A377" s="16"/>
      <c r="E377" s="5"/>
    </row>
    <row r="378" spans="1:5" ht="12.75" x14ac:dyDescent="0.2">
      <c r="A378" s="16"/>
      <c r="E378" s="5"/>
    </row>
    <row r="379" spans="1:5" ht="12.75" x14ac:dyDescent="0.2">
      <c r="A379" s="16"/>
      <c r="E379" s="5"/>
    </row>
    <row r="380" spans="1:5" ht="12.75" x14ac:dyDescent="0.2">
      <c r="A380" s="16"/>
      <c r="E380" s="5"/>
    </row>
    <row r="381" spans="1:5" ht="12.75" x14ac:dyDescent="0.2">
      <c r="A381" s="16"/>
      <c r="E381" s="5"/>
    </row>
    <row r="382" spans="1:5" ht="12.75" x14ac:dyDescent="0.2">
      <c r="A382" s="16"/>
      <c r="E382" s="5"/>
    </row>
    <row r="383" spans="1:5" ht="12.75" x14ac:dyDescent="0.2">
      <c r="A383" s="16"/>
      <c r="E383" s="5"/>
    </row>
    <row r="384" spans="1:5" ht="12.75" x14ac:dyDescent="0.2">
      <c r="A384" s="16"/>
      <c r="E384" s="5"/>
    </row>
    <row r="385" spans="1:5" ht="12.75" x14ac:dyDescent="0.2">
      <c r="A385" s="16"/>
      <c r="E385" s="5"/>
    </row>
    <row r="386" spans="1:5" ht="12.75" x14ac:dyDescent="0.2">
      <c r="A386" s="16"/>
      <c r="E386" s="5"/>
    </row>
    <row r="387" spans="1:5" ht="12.75" x14ac:dyDescent="0.2">
      <c r="A387" s="16"/>
      <c r="E387" s="5"/>
    </row>
    <row r="388" spans="1:5" ht="12.75" x14ac:dyDescent="0.2">
      <c r="A388" s="16"/>
      <c r="E388" s="5"/>
    </row>
    <row r="389" spans="1:5" ht="12.75" x14ac:dyDescent="0.2">
      <c r="A389" s="16"/>
      <c r="E389" s="5"/>
    </row>
    <row r="390" spans="1:5" ht="12.75" x14ac:dyDescent="0.2">
      <c r="A390" s="16"/>
      <c r="E390" s="5"/>
    </row>
    <row r="391" spans="1:5" ht="12.75" x14ac:dyDescent="0.2">
      <c r="A391" s="16"/>
      <c r="E391" s="5"/>
    </row>
    <row r="392" spans="1:5" ht="12.75" x14ac:dyDescent="0.2">
      <c r="A392" s="16"/>
      <c r="E392" s="5"/>
    </row>
    <row r="393" spans="1:5" ht="12.75" x14ac:dyDescent="0.2">
      <c r="A393" s="16"/>
      <c r="E393" s="5"/>
    </row>
    <row r="394" spans="1:5" ht="12.75" x14ac:dyDescent="0.2">
      <c r="A394" s="16"/>
      <c r="E394" s="5"/>
    </row>
    <row r="395" spans="1:5" ht="12.75" x14ac:dyDescent="0.2">
      <c r="A395" s="16"/>
      <c r="E395" s="5"/>
    </row>
    <row r="396" spans="1:5" ht="12.75" x14ac:dyDescent="0.2">
      <c r="A396" s="16"/>
      <c r="E396" s="5"/>
    </row>
    <row r="397" spans="1:5" ht="12.75" x14ac:dyDescent="0.2">
      <c r="A397" s="16"/>
      <c r="E397" s="5"/>
    </row>
    <row r="398" spans="1:5" ht="12.75" x14ac:dyDescent="0.2">
      <c r="A398" s="16"/>
      <c r="E398" s="5"/>
    </row>
    <row r="399" spans="1:5" ht="12.75" x14ac:dyDescent="0.2">
      <c r="A399" s="16"/>
      <c r="E399" s="5"/>
    </row>
    <row r="400" spans="1:5" ht="12.75" x14ac:dyDescent="0.2">
      <c r="A400" s="16"/>
      <c r="E400" s="5"/>
    </row>
    <row r="401" spans="1:5" ht="12.75" x14ac:dyDescent="0.2">
      <c r="A401" s="16"/>
      <c r="E401" s="5"/>
    </row>
    <row r="402" spans="1:5" ht="12.75" x14ac:dyDescent="0.2">
      <c r="A402" s="16"/>
      <c r="E402" s="5"/>
    </row>
    <row r="403" spans="1:5" ht="12.75" x14ac:dyDescent="0.2">
      <c r="A403" s="16"/>
      <c r="E403" s="5"/>
    </row>
    <row r="404" spans="1:5" ht="12.75" x14ac:dyDescent="0.2">
      <c r="A404" s="16"/>
      <c r="E404" s="5"/>
    </row>
    <row r="405" spans="1:5" ht="12.75" x14ac:dyDescent="0.2">
      <c r="A405" s="16"/>
      <c r="E405" s="5"/>
    </row>
    <row r="406" spans="1:5" ht="12.75" x14ac:dyDescent="0.2">
      <c r="A406" s="16"/>
      <c r="E406" s="5"/>
    </row>
    <row r="407" spans="1:5" ht="12.75" x14ac:dyDescent="0.2">
      <c r="A407" s="16"/>
      <c r="E407" s="5"/>
    </row>
    <row r="408" spans="1:5" ht="12.75" x14ac:dyDescent="0.2">
      <c r="A408" s="16"/>
      <c r="E408" s="5"/>
    </row>
    <row r="409" spans="1:5" ht="12.75" x14ac:dyDescent="0.2">
      <c r="A409" s="16"/>
      <c r="E409" s="5"/>
    </row>
    <row r="410" spans="1:5" ht="12.75" x14ac:dyDescent="0.2">
      <c r="A410" s="16"/>
      <c r="E410" s="5"/>
    </row>
    <row r="411" spans="1:5" ht="12.75" x14ac:dyDescent="0.2">
      <c r="A411" s="16"/>
      <c r="E411" s="5"/>
    </row>
    <row r="412" spans="1:5" ht="12.75" x14ac:dyDescent="0.2">
      <c r="A412" s="16"/>
      <c r="E412" s="5"/>
    </row>
    <row r="413" spans="1:5" ht="12.75" x14ac:dyDescent="0.2">
      <c r="A413" s="16"/>
      <c r="E413" s="5"/>
    </row>
    <row r="414" spans="1:5" ht="12.75" x14ac:dyDescent="0.2">
      <c r="A414" s="16"/>
      <c r="E414" s="5"/>
    </row>
    <row r="415" spans="1:5" ht="12.75" x14ac:dyDescent="0.2">
      <c r="A415" s="16"/>
      <c r="E415" s="5"/>
    </row>
    <row r="416" spans="1:5" ht="12.75" x14ac:dyDescent="0.2">
      <c r="A416" s="16"/>
      <c r="E416" s="5"/>
    </row>
    <row r="417" spans="1:5" ht="12.75" x14ac:dyDescent="0.2">
      <c r="A417" s="16"/>
      <c r="E417" s="5"/>
    </row>
    <row r="418" spans="1:5" ht="12.75" x14ac:dyDescent="0.2">
      <c r="A418" s="16"/>
      <c r="E418" s="5"/>
    </row>
    <row r="419" spans="1:5" ht="12.75" x14ac:dyDescent="0.2">
      <c r="A419" s="16"/>
      <c r="E419" s="5"/>
    </row>
    <row r="420" spans="1:5" ht="12.75" x14ac:dyDescent="0.2">
      <c r="A420" s="16"/>
      <c r="E420" s="5"/>
    </row>
    <row r="421" spans="1:5" ht="12.75" x14ac:dyDescent="0.2">
      <c r="A421" s="16"/>
      <c r="E421" s="5"/>
    </row>
    <row r="422" spans="1:5" ht="12.75" x14ac:dyDescent="0.2">
      <c r="A422" s="16"/>
      <c r="E422" s="5"/>
    </row>
    <row r="423" spans="1:5" ht="12.75" x14ac:dyDescent="0.2">
      <c r="A423" s="16"/>
      <c r="E423" s="5"/>
    </row>
    <row r="424" spans="1:5" ht="12.75" x14ac:dyDescent="0.2">
      <c r="A424" s="16"/>
      <c r="E424" s="5"/>
    </row>
    <row r="425" spans="1:5" ht="12.75" x14ac:dyDescent="0.2">
      <c r="A425" s="16"/>
      <c r="E425" s="5"/>
    </row>
    <row r="426" spans="1:5" ht="12.75" x14ac:dyDescent="0.2">
      <c r="A426" s="16"/>
      <c r="E426" s="5"/>
    </row>
    <row r="427" spans="1:5" ht="12.75" x14ac:dyDescent="0.2">
      <c r="A427" s="16"/>
      <c r="E427" s="5"/>
    </row>
    <row r="428" spans="1:5" ht="12.75" x14ac:dyDescent="0.2">
      <c r="A428" s="16"/>
      <c r="E428" s="5"/>
    </row>
    <row r="429" spans="1:5" ht="12.75" x14ac:dyDescent="0.2">
      <c r="A429" s="16"/>
      <c r="E429" s="5"/>
    </row>
    <row r="430" spans="1:5" ht="12.75" x14ac:dyDescent="0.2">
      <c r="A430" s="16"/>
      <c r="E430" s="5"/>
    </row>
    <row r="431" spans="1:5" ht="12.75" x14ac:dyDescent="0.2">
      <c r="A431" s="16"/>
      <c r="E431" s="5"/>
    </row>
    <row r="432" spans="1:5" ht="12.75" x14ac:dyDescent="0.2">
      <c r="A432" s="16"/>
      <c r="E432" s="5"/>
    </row>
    <row r="433" spans="1:5" ht="12.75" x14ac:dyDescent="0.2">
      <c r="A433" s="16"/>
      <c r="E433" s="5"/>
    </row>
    <row r="434" spans="1:5" ht="12.75" x14ac:dyDescent="0.2">
      <c r="A434" s="16"/>
      <c r="E434" s="5"/>
    </row>
    <row r="435" spans="1:5" ht="12.75" x14ac:dyDescent="0.2">
      <c r="A435" s="16"/>
      <c r="E435" s="5"/>
    </row>
    <row r="436" spans="1:5" ht="12.75" x14ac:dyDescent="0.2">
      <c r="A436" s="16"/>
      <c r="E436" s="5"/>
    </row>
    <row r="437" spans="1:5" ht="12.75" x14ac:dyDescent="0.2">
      <c r="A437" s="16"/>
      <c r="E437" s="5"/>
    </row>
    <row r="438" spans="1:5" ht="12.75" x14ac:dyDescent="0.2">
      <c r="A438" s="16"/>
      <c r="E438" s="5"/>
    </row>
    <row r="439" spans="1:5" ht="12.75" x14ac:dyDescent="0.2">
      <c r="A439" s="16"/>
      <c r="E439" s="5"/>
    </row>
    <row r="440" spans="1:5" ht="12.75" x14ac:dyDescent="0.2">
      <c r="A440" s="16"/>
      <c r="E440" s="5"/>
    </row>
    <row r="441" spans="1:5" ht="12.75" x14ac:dyDescent="0.2">
      <c r="A441" s="16"/>
      <c r="E441" s="5"/>
    </row>
    <row r="442" spans="1:5" ht="12.75" x14ac:dyDescent="0.2">
      <c r="A442" s="16"/>
      <c r="E442" s="5"/>
    </row>
    <row r="443" spans="1:5" ht="12.75" x14ac:dyDescent="0.2">
      <c r="A443" s="16"/>
      <c r="E443" s="5"/>
    </row>
    <row r="444" spans="1:5" ht="12.75" x14ac:dyDescent="0.2">
      <c r="A444" s="16"/>
      <c r="E444" s="5"/>
    </row>
    <row r="445" spans="1:5" ht="12.75" x14ac:dyDescent="0.2">
      <c r="A445" s="16"/>
      <c r="E445" s="5"/>
    </row>
    <row r="446" spans="1:5" ht="12.75" x14ac:dyDescent="0.2">
      <c r="A446" s="16"/>
      <c r="E446" s="5"/>
    </row>
    <row r="447" spans="1:5" ht="12.75" x14ac:dyDescent="0.2">
      <c r="A447" s="16"/>
      <c r="E447" s="5"/>
    </row>
    <row r="448" spans="1:5" ht="12.75" x14ac:dyDescent="0.2">
      <c r="A448" s="16"/>
      <c r="E448" s="5"/>
    </row>
    <row r="449" spans="1:5" ht="12.75" x14ac:dyDescent="0.2">
      <c r="A449" s="16"/>
      <c r="E449" s="5"/>
    </row>
    <row r="450" spans="1:5" ht="12.75" x14ac:dyDescent="0.2">
      <c r="A450" s="16"/>
      <c r="E450" s="5"/>
    </row>
    <row r="451" spans="1:5" ht="12.75" x14ac:dyDescent="0.2">
      <c r="A451" s="16"/>
      <c r="E451" s="5"/>
    </row>
    <row r="452" spans="1:5" ht="12.75" x14ac:dyDescent="0.2">
      <c r="A452" s="16"/>
      <c r="E452" s="5"/>
    </row>
    <row r="453" spans="1:5" ht="12.75" x14ac:dyDescent="0.2">
      <c r="A453" s="16"/>
      <c r="E453" s="5"/>
    </row>
    <row r="454" spans="1:5" ht="12.75" x14ac:dyDescent="0.2">
      <c r="A454" s="16"/>
      <c r="E454" s="5"/>
    </row>
    <row r="455" spans="1:5" ht="12.75" x14ac:dyDescent="0.2">
      <c r="A455" s="16"/>
      <c r="E455" s="5"/>
    </row>
    <row r="456" spans="1:5" ht="12.75" x14ac:dyDescent="0.2">
      <c r="A456" s="16"/>
      <c r="E456" s="5"/>
    </row>
    <row r="457" spans="1:5" ht="12.75" x14ac:dyDescent="0.2">
      <c r="A457" s="16"/>
      <c r="E457" s="5"/>
    </row>
    <row r="458" spans="1:5" ht="12.75" x14ac:dyDescent="0.2">
      <c r="A458" s="16"/>
      <c r="E458" s="5"/>
    </row>
    <row r="459" spans="1:5" ht="12.75" x14ac:dyDescent="0.2">
      <c r="A459" s="16"/>
      <c r="E459" s="5"/>
    </row>
    <row r="460" spans="1:5" ht="12.75" x14ac:dyDescent="0.2">
      <c r="A460" s="16"/>
      <c r="E460" s="5"/>
    </row>
    <row r="461" spans="1:5" ht="12.75" x14ac:dyDescent="0.2">
      <c r="A461" s="16"/>
      <c r="E461" s="5"/>
    </row>
    <row r="462" spans="1:5" ht="12.75" x14ac:dyDescent="0.2">
      <c r="A462" s="16"/>
      <c r="E462" s="5"/>
    </row>
    <row r="463" spans="1:5" ht="12.75" x14ac:dyDescent="0.2">
      <c r="A463" s="16"/>
      <c r="E463" s="5"/>
    </row>
    <row r="464" spans="1:5" ht="12.75" x14ac:dyDescent="0.2">
      <c r="A464" s="16"/>
      <c r="E464" s="5"/>
    </row>
    <row r="465" spans="1:5" ht="12.75" x14ac:dyDescent="0.2">
      <c r="A465" s="16"/>
      <c r="E465" s="5"/>
    </row>
    <row r="466" spans="1:5" ht="12.75" x14ac:dyDescent="0.2">
      <c r="A466" s="16"/>
      <c r="E466" s="5"/>
    </row>
    <row r="467" spans="1:5" ht="12.75" x14ac:dyDescent="0.2">
      <c r="A467" s="16"/>
      <c r="E467" s="5"/>
    </row>
    <row r="468" spans="1:5" ht="12.75" x14ac:dyDescent="0.2">
      <c r="A468" s="16"/>
      <c r="E468" s="5"/>
    </row>
    <row r="469" spans="1:5" ht="12.75" x14ac:dyDescent="0.2">
      <c r="A469" s="16"/>
      <c r="E469" s="5"/>
    </row>
    <row r="470" spans="1:5" ht="12.75" x14ac:dyDescent="0.2">
      <c r="A470" s="16"/>
      <c r="E470" s="5"/>
    </row>
    <row r="471" spans="1:5" ht="12.75" x14ac:dyDescent="0.2">
      <c r="A471" s="16"/>
      <c r="E471" s="5"/>
    </row>
    <row r="472" spans="1:5" ht="12.75" x14ac:dyDescent="0.2">
      <c r="A472" s="16"/>
      <c r="E472" s="5"/>
    </row>
    <row r="473" spans="1:5" ht="12.75" x14ac:dyDescent="0.2">
      <c r="A473" s="16"/>
      <c r="E473" s="5"/>
    </row>
    <row r="474" spans="1:5" ht="12.75" x14ac:dyDescent="0.2">
      <c r="A474" s="16"/>
      <c r="E474" s="5"/>
    </row>
    <row r="475" spans="1:5" ht="12.75" x14ac:dyDescent="0.2">
      <c r="A475" s="16"/>
      <c r="E475" s="5"/>
    </row>
    <row r="476" spans="1:5" ht="12.75" x14ac:dyDescent="0.2">
      <c r="A476" s="16"/>
      <c r="E476" s="5"/>
    </row>
    <row r="477" spans="1:5" ht="12.75" x14ac:dyDescent="0.2">
      <c r="A477" s="16"/>
      <c r="E477" s="5"/>
    </row>
    <row r="478" spans="1:5" ht="12.75" x14ac:dyDescent="0.2">
      <c r="A478" s="16"/>
      <c r="E478" s="5"/>
    </row>
    <row r="479" spans="1:5" ht="12.75" x14ac:dyDescent="0.2">
      <c r="A479" s="16"/>
      <c r="E479" s="5"/>
    </row>
    <row r="480" spans="1:5" ht="12.75" x14ac:dyDescent="0.2">
      <c r="A480" s="16"/>
      <c r="E480" s="5"/>
    </row>
    <row r="481" spans="1:5" ht="12.75" x14ac:dyDescent="0.2">
      <c r="A481" s="16"/>
      <c r="E481" s="5"/>
    </row>
    <row r="482" spans="1:5" ht="12.75" x14ac:dyDescent="0.2">
      <c r="A482" s="16"/>
      <c r="E482" s="5"/>
    </row>
    <row r="483" spans="1:5" ht="12.75" x14ac:dyDescent="0.2">
      <c r="A483" s="16"/>
      <c r="E483" s="5"/>
    </row>
    <row r="484" spans="1:5" ht="12.75" x14ac:dyDescent="0.2">
      <c r="A484" s="16"/>
      <c r="E484" s="5"/>
    </row>
    <row r="485" spans="1:5" ht="12.75" x14ac:dyDescent="0.2">
      <c r="A485" s="16"/>
      <c r="E485" s="5"/>
    </row>
    <row r="486" spans="1:5" ht="12.75" x14ac:dyDescent="0.2">
      <c r="A486" s="16"/>
      <c r="E486" s="5"/>
    </row>
    <row r="487" spans="1:5" ht="12.75" x14ac:dyDescent="0.2">
      <c r="A487" s="16"/>
      <c r="E487" s="5"/>
    </row>
    <row r="488" spans="1:5" ht="12.75" x14ac:dyDescent="0.2">
      <c r="A488" s="16"/>
      <c r="E488" s="5"/>
    </row>
    <row r="489" spans="1:5" ht="12.75" x14ac:dyDescent="0.2">
      <c r="A489" s="16"/>
      <c r="E489" s="5"/>
    </row>
    <row r="490" spans="1:5" ht="12.75" x14ac:dyDescent="0.2">
      <c r="A490" s="16"/>
      <c r="E490" s="5"/>
    </row>
    <row r="491" spans="1:5" ht="12.75" x14ac:dyDescent="0.2">
      <c r="A491" s="16"/>
      <c r="E491" s="5"/>
    </row>
    <row r="492" spans="1:5" ht="12.75" x14ac:dyDescent="0.2">
      <c r="A492" s="16"/>
      <c r="E492" s="5"/>
    </row>
    <row r="493" spans="1:5" ht="12.75" x14ac:dyDescent="0.2">
      <c r="A493" s="16"/>
      <c r="E493" s="5"/>
    </row>
    <row r="494" spans="1:5" ht="12.75" x14ac:dyDescent="0.2">
      <c r="A494" s="16"/>
      <c r="E494" s="5"/>
    </row>
    <row r="495" spans="1:5" ht="12.75" x14ac:dyDescent="0.2">
      <c r="A495" s="16"/>
      <c r="E495" s="5"/>
    </row>
    <row r="496" spans="1:5" ht="12.75" x14ac:dyDescent="0.2">
      <c r="A496" s="16"/>
      <c r="E496" s="5"/>
    </row>
    <row r="497" spans="1:5" ht="12.75" x14ac:dyDescent="0.2">
      <c r="A497" s="16"/>
      <c r="E497" s="5"/>
    </row>
    <row r="498" spans="1:5" ht="12.75" x14ac:dyDescent="0.2">
      <c r="A498" s="16"/>
      <c r="E498" s="5"/>
    </row>
    <row r="499" spans="1:5" ht="12.75" x14ac:dyDescent="0.2">
      <c r="A499" s="16"/>
      <c r="E499" s="5"/>
    </row>
    <row r="500" spans="1:5" ht="12.75" x14ac:dyDescent="0.2">
      <c r="A500" s="16"/>
      <c r="E500" s="5"/>
    </row>
    <row r="501" spans="1:5" ht="12.75" x14ac:dyDescent="0.2">
      <c r="A501" s="16"/>
      <c r="E501" s="5"/>
    </row>
    <row r="502" spans="1:5" ht="12.75" x14ac:dyDescent="0.2">
      <c r="A502" s="16"/>
      <c r="E502" s="5"/>
    </row>
    <row r="503" spans="1:5" ht="12.75" x14ac:dyDescent="0.2">
      <c r="A503" s="16"/>
      <c r="E503" s="5"/>
    </row>
    <row r="504" spans="1:5" ht="12.75" x14ac:dyDescent="0.2">
      <c r="A504" s="16"/>
      <c r="E504" s="5"/>
    </row>
    <row r="505" spans="1:5" ht="12.75" x14ac:dyDescent="0.2">
      <c r="A505" s="16"/>
      <c r="E505" s="5"/>
    </row>
    <row r="506" spans="1:5" ht="12.75" x14ac:dyDescent="0.2">
      <c r="A506" s="16"/>
      <c r="E506" s="5"/>
    </row>
    <row r="507" spans="1:5" ht="12.75" x14ac:dyDescent="0.2">
      <c r="A507" s="16"/>
      <c r="E507" s="5"/>
    </row>
    <row r="508" spans="1:5" ht="12.75" x14ac:dyDescent="0.2">
      <c r="A508" s="16"/>
      <c r="E508" s="5"/>
    </row>
    <row r="509" spans="1:5" ht="12.75" x14ac:dyDescent="0.2">
      <c r="A509" s="16"/>
      <c r="E509" s="5"/>
    </row>
    <row r="510" spans="1:5" ht="12.75" x14ac:dyDescent="0.2">
      <c r="A510" s="16"/>
      <c r="E510" s="5"/>
    </row>
    <row r="511" spans="1:5" ht="12.75" x14ac:dyDescent="0.2">
      <c r="A511" s="16"/>
      <c r="E511" s="5"/>
    </row>
    <row r="512" spans="1:5" ht="12.75" x14ac:dyDescent="0.2">
      <c r="A512" s="16"/>
      <c r="E512" s="5"/>
    </row>
    <row r="513" spans="1:5" ht="12.75" x14ac:dyDescent="0.2">
      <c r="A513" s="16"/>
      <c r="E513" s="5"/>
    </row>
    <row r="514" spans="1:5" ht="12.75" x14ac:dyDescent="0.2">
      <c r="A514" s="16"/>
      <c r="E514" s="5"/>
    </row>
    <row r="515" spans="1:5" ht="12.75" x14ac:dyDescent="0.2">
      <c r="A515" s="16"/>
      <c r="E515" s="5"/>
    </row>
    <row r="516" spans="1:5" ht="12.75" x14ac:dyDescent="0.2">
      <c r="A516" s="16"/>
      <c r="E516" s="5"/>
    </row>
    <row r="517" spans="1:5" ht="12.75" x14ac:dyDescent="0.2">
      <c r="A517" s="16"/>
      <c r="E517" s="5"/>
    </row>
    <row r="518" spans="1:5" ht="12.75" x14ac:dyDescent="0.2">
      <c r="A518" s="16"/>
      <c r="E518" s="5"/>
    </row>
    <row r="519" spans="1:5" ht="12.75" x14ac:dyDescent="0.2">
      <c r="A519" s="16"/>
      <c r="E519" s="5"/>
    </row>
    <row r="520" spans="1:5" ht="12.75" x14ac:dyDescent="0.2">
      <c r="A520" s="16"/>
      <c r="E520" s="5"/>
    </row>
    <row r="521" spans="1:5" ht="12.75" x14ac:dyDescent="0.2">
      <c r="A521" s="16"/>
      <c r="E521" s="5"/>
    </row>
    <row r="522" spans="1:5" ht="12.75" x14ac:dyDescent="0.2">
      <c r="A522" s="16"/>
      <c r="E522" s="5"/>
    </row>
    <row r="523" spans="1:5" ht="12.75" x14ac:dyDescent="0.2">
      <c r="A523" s="16"/>
      <c r="E523" s="5"/>
    </row>
    <row r="524" spans="1:5" ht="12.75" x14ac:dyDescent="0.2">
      <c r="A524" s="16"/>
      <c r="E524" s="5"/>
    </row>
    <row r="525" spans="1:5" ht="12.75" x14ac:dyDescent="0.2">
      <c r="A525" s="16"/>
      <c r="E525" s="5"/>
    </row>
    <row r="526" spans="1:5" ht="12.75" x14ac:dyDescent="0.2">
      <c r="A526" s="16"/>
      <c r="E526" s="5"/>
    </row>
    <row r="527" spans="1:5" ht="12.75" x14ac:dyDescent="0.2">
      <c r="A527" s="16"/>
      <c r="E527" s="5"/>
    </row>
    <row r="528" spans="1:5" ht="12.75" x14ac:dyDescent="0.2">
      <c r="A528" s="16"/>
      <c r="E528" s="5"/>
    </row>
    <row r="529" spans="1:5" ht="12.75" x14ac:dyDescent="0.2">
      <c r="A529" s="16"/>
      <c r="E529" s="5"/>
    </row>
    <row r="530" spans="1:5" ht="12.75" x14ac:dyDescent="0.2">
      <c r="A530" s="16"/>
      <c r="E530" s="5"/>
    </row>
    <row r="531" spans="1:5" ht="12.75" x14ac:dyDescent="0.2">
      <c r="A531" s="16"/>
      <c r="E531" s="5"/>
    </row>
    <row r="532" spans="1:5" ht="12.75" x14ac:dyDescent="0.2">
      <c r="A532" s="16"/>
      <c r="E532" s="5"/>
    </row>
    <row r="533" spans="1:5" ht="12.75" x14ac:dyDescent="0.2">
      <c r="A533" s="16"/>
      <c r="E533" s="5"/>
    </row>
    <row r="534" spans="1:5" ht="12.75" x14ac:dyDescent="0.2">
      <c r="A534" s="16"/>
      <c r="E534" s="5"/>
    </row>
    <row r="535" spans="1:5" ht="12.75" x14ac:dyDescent="0.2">
      <c r="A535" s="16"/>
      <c r="E535" s="5"/>
    </row>
    <row r="536" spans="1:5" ht="12.75" x14ac:dyDescent="0.2">
      <c r="A536" s="16"/>
      <c r="E536" s="5"/>
    </row>
    <row r="537" spans="1:5" ht="12.75" x14ac:dyDescent="0.2">
      <c r="A537" s="16"/>
      <c r="E537" s="5"/>
    </row>
    <row r="538" spans="1:5" ht="12.75" x14ac:dyDescent="0.2">
      <c r="A538" s="16"/>
      <c r="E538" s="5"/>
    </row>
    <row r="539" spans="1:5" ht="12.75" x14ac:dyDescent="0.2">
      <c r="A539" s="16"/>
      <c r="E539" s="5"/>
    </row>
    <row r="540" spans="1:5" ht="12.75" x14ac:dyDescent="0.2">
      <c r="A540" s="16"/>
      <c r="E540" s="5"/>
    </row>
    <row r="541" spans="1:5" ht="12.75" x14ac:dyDescent="0.2">
      <c r="A541" s="16"/>
      <c r="E541" s="5"/>
    </row>
    <row r="542" spans="1:5" ht="12.75" x14ac:dyDescent="0.2">
      <c r="A542" s="16"/>
      <c r="E542" s="5"/>
    </row>
    <row r="543" spans="1:5" ht="12.75" x14ac:dyDescent="0.2">
      <c r="A543" s="16"/>
      <c r="E543" s="5"/>
    </row>
    <row r="544" spans="1:5" ht="12.75" x14ac:dyDescent="0.2">
      <c r="A544" s="16"/>
      <c r="E544" s="5"/>
    </row>
    <row r="545" spans="1:5" ht="12.75" x14ac:dyDescent="0.2">
      <c r="A545" s="16"/>
      <c r="E545" s="5"/>
    </row>
    <row r="546" spans="1:5" ht="12.75" x14ac:dyDescent="0.2">
      <c r="A546" s="16"/>
      <c r="E546" s="5"/>
    </row>
    <row r="547" spans="1:5" ht="12.75" x14ac:dyDescent="0.2">
      <c r="A547" s="16"/>
      <c r="E547" s="5"/>
    </row>
    <row r="548" spans="1:5" ht="12.75" x14ac:dyDescent="0.2">
      <c r="A548" s="16"/>
      <c r="E548" s="5"/>
    </row>
    <row r="549" spans="1:5" ht="12.75" x14ac:dyDescent="0.2">
      <c r="A549" s="16"/>
      <c r="E549" s="5"/>
    </row>
    <row r="550" spans="1:5" ht="12.75" x14ac:dyDescent="0.2">
      <c r="A550" s="16"/>
      <c r="E550" s="5"/>
    </row>
    <row r="551" spans="1:5" ht="12.75" x14ac:dyDescent="0.2">
      <c r="A551" s="16"/>
      <c r="E551" s="5"/>
    </row>
    <row r="552" spans="1:5" ht="12.75" x14ac:dyDescent="0.2">
      <c r="A552" s="16"/>
      <c r="E552" s="5"/>
    </row>
    <row r="553" spans="1:5" ht="12.75" x14ac:dyDescent="0.2">
      <c r="A553" s="16"/>
      <c r="E553" s="5"/>
    </row>
    <row r="554" spans="1:5" ht="12.75" x14ac:dyDescent="0.2">
      <c r="A554" s="16"/>
      <c r="E554" s="5"/>
    </row>
    <row r="555" spans="1:5" ht="12.75" x14ac:dyDescent="0.2">
      <c r="A555" s="16"/>
      <c r="E555" s="5"/>
    </row>
    <row r="556" spans="1:5" ht="12.75" x14ac:dyDescent="0.2">
      <c r="A556" s="16"/>
      <c r="E556" s="5"/>
    </row>
    <row r="557" spans="1:5" ht="12.75" x14ac:dyDescent="0.2">
      <c r="A557" s="16"/>
      <c r="E557" s="5"/>
    </row>
    <row r="558" spans="1:5" ht="12.75" x14ac:dyDescent="0.2">
      <c r="A558" s="16"/>
      <c r="E558" s="5"/>
    </row>
    <row r="559" spans="1:5" ht="12.75" x14ac:dyDescent="0.2">
      <c r="A559" s="16"/>
      <c r="E559" s="5"/>
    </row>
    <row r="560" spans="1:5" ht="12.75" x14ac:dyDescent="0.2">
      <c r="A560" s="16"/>
      <c r="E560" s="5"/>
    </row>
    <row r="561" spans="1:5" ht="12.75" x14ac:dyDescent="0.2">
      <c r="A561" s="16"/>
      <c r="E561" s="5"/>
    </row>
    <row r="562" spans="1:5" ht="12.75" x14ac:dyDescent="0.2">
      <c r="A562" s="16"/>
      <c r="E562" s="5"/>
    </row>
    <row r="563" spans="1:5" ht="12.75" x14ac:dyDescent="0.2">
      <c r="A563" s="16"/>
      <c r="E563" s="5"/>
    </row>
    <row r="564" spans="1:5" ht="12.75" x14ac:dyDescent="0.2">
      <c r="A564" s="16"/>
      <c r="E564" s="5"/>
    </row>
    <row r="565" spans="1:5" ht="12.75" x14ac:dyDescent="0.2">
      <c r="A565" s="16"/>
      <c r="E565" s="5"/>
    </row>
    <row r="566" spans="1:5" ht="12.75" x14ac:dyDescent="0.2">
      <c r="A566" s="16"/>
      <c r="E566" s="5"/>
    </row>
    <row r="567" spans="1:5" ht="12.75" x14ac:dyDescent="0.2">
      <c r="A567" s="16"/>
      <c r="E567" s="5"/>
    </row>
    <row r="568" spans="1:5" ht="12.75" x14ac:dyDescent="0.2">
      <c r="A568" s="16"/>
      <c r="E568" s="5"/>
    </row>
    <row r="569" spans="1:5" ht="12.75" x14ac:dyDescent="0.2">
      <c r="A569" s="16"/>
      <c r="E569" s="5"/>
    </row>
    <row r="570" spans="1:5" ht="12.75" x14ac:dyDescent="0.2">
      <c r="A570" s="16"/>
      <c r="E570" s="5"/>
    </row>
    <row r="571" spans="1:5" ht="12.75" x14ac:dyDescent="0.2">
      <c r="A571" s="16"/>
      <c r="E571" s="5"/>
    </row>
    <row r="572" spans="1:5" ht="12.75" x14ac:dyDescent="0.2">
      <c r="A572" s="16"/>
      <c r="E572" s="5"/>
    </row>
    <row r="573" spans="1:5" ht="12.75" x14ac:dyDescent="0.2">
      <c r="A573" s="16"/>
      <c r="E573" s="5"/>
    </row>
    <row r="574" spans="1:5" ht="12.75" x14ac:dyDescent="0.2">
      <c r="A574" s="16"/>
      <c r="E574" s="5"/>
    </row>
    <row r="575" spans="1:5" ht="12.75" x14ac:dyDescent="0.2">
      <c r="A575" s="16"/>
      <c r="E575" s="5"/>
    </row>
    <row r="576" spans="1:5" ht="12.75" x14ac:dyDescent="0.2">
      <c r="A576" s="16"/>
      <c r="E576" s="5"/>
    </row>
    <row r="577" spans="1:5" ht="12.75" x14ac:dyDescent="0.2">
      <c r="A577" s="16"/>
      <c r="E577" s="5"/>
    </row>
    <row r="578" spans="1:5" ht="12.75" x14ac:dyDescent="0.2">
      <c r="A578" s="16"/>
      <c r="E578" s="5"/>
    </row>
    <row r="579" spans="1:5" ht="12.75" x14ac:dyDescent="0.2">
      <c r="A579" s="16"/>
      <c r="E579" s="5"/>
    </row>
    <row r="580" spans="1:5" ht="12.75" x14ac:dyDescent="0.2">
      <c r="A580" s="16"/>
      <c r="E580" s="5"/>
    </row>
    <row r="581" spans="1:5" ht="12.75" x14ac:dyDescent="0.2">
      <c r="A581" s="16"/>
      <c r="E581" s="5"/>
    </row>
    <row r="582" spans="1:5" ht="12.75" x14ac:dyDescent="0.2">
      <c r="A582" s="16"/>
      <c r="E582" s="5"/>
    </row>
    <row r="583" spans="1:5" ht="12.75" x14ac:dyDescent="0.2">
      <c r="A583" s="16"/>
      <c r="E583" s="5"/>
    </row>
    <row r="584" spans="1:5" ht="12.75" x14ac:dyDescent="0.2">
      <c r="A584" s="16"/>
      <c r="E584" s="5"/>
    </row>
    <row r="585" spans="1:5" ht="12.75" x14ac:dyDescent="0.2">
      <c r="A585" s="16"/>
      <c r="E585" s="5"/>
    </row>
    <row r="586" spans="1:5" ht="12.75" x14ac:dyDescent="0.2">
      <c r="A586" s="16"/>
      <c r="E586" s="5"/>
    </row>
    <row r="587" spans="1:5" ht="12.75" x14ac:dyDescent="0.2">
      <c r="A587" s="16"/>
      <c r="E587" s="5"/>
    </row>
    <row r="588" spans="1:5" ht="12.75" x14ac:dyDescent="0.2">
      <c r="A588" s="16"/>
      <c r="E588" s="5"/>
    </row>
    <row r="589" spans="1:5" ht="12.75" x14ac:dyDescent="0.2">
      <c r="A589" s="16"/>
      <c r="E589" s="5"/>
    </row>
    <row r="590" spans="1:5" ht="12.75" x14ac:dyDescent="0.2">
      <c r="A590" s="16"/>
      <c r="E590" s="5"/>
    </row>
    <row r="591" spans="1:5" ht="12.75" x14ac:dyDescent="0.2">
      <c r="A591" s="16"/>
      <c r="E591" s="5"/>
    </row>
    <row r="592" spans="1:5" ht="12.75" x14ac:dyDescent="0.2">
      <c r="A592" s="16"/>
      <c r="E592" s="5"/>
    </row>
    <row r="593" spans="1:5" ht="12.75" x14ac:dyDescent="0.2">
      <c r="A593" s="16"/>
      <c r="E593" s="5"/>
    </row>
    <row r="594" spans="1:5" ht="12.75" x14ac:dyDescent="0.2">
      <c r="A594" s="16"/>
      <c r="E594" s="5"/>
    </row>
    <row r="595" spans="1:5" ht="12.75" x14ac:dyDescent="0.2">
      <c r="A595" s="16"/>
      <c r="E595" s="5"/>
    </row>
    <row r="596" spans="1:5" ht="12.75" x14ac:dyDescent="0.2">
      <c r="A596" s="16"/>
      <c r="E596" s="5"/>
    </row>
    <row r="597" spans="1:5" ht="12.75" x14ac:dyDescent="0.2">
      <c r="A597" s="16"/>
      <c r="E597" s="5"/>
    </row>
    <row r="598" spans="1:5" ht="12.75" x14ac:dyDescent="0.2">
      <c r="A598" s="16"/>
      <c r="E598" s="5"/>
    </row>
    <row r="599" spans="1:5" ht="12.75" x14ac:dyDescent="0.2">
      <c r="A599" s="16"/>
      <c r="E599" s="5"/>
    </row>
    <row r="600" spans="1:5" ht="12.75" x14ac:dyDescent="0.2">
      <c r="A600" s="16"/>
      <c r="E600" s="5"/>
    </row>
    <row r="601" spans="1:5" ht="12.75" x14ac:dyDescent="0.2">
      <c r="A601" s="16"/>
      <c r="E601" s="5"/>
    </row>
    <row r="602" spans="1:5" ht="12.75" x14ac:dyDescent="0.2">
      <c r="A602" s="16"/>
      <c r="E602" s="5"/>
    </row>
    <row r="603" spans="1:5" ht="12.75" x14ac:dyDescent="0.2">
      <c r="A603" s="16"/>
      <c r="E603" s="5"/>
    </row>
    <row r="604" spans="1:5" ht="12.75" x14ac:dyDescent="0.2">
      <c r="A604" s="16"/>
      <c r="E604" s="5"/>
    </row>
    <row r="605" spans="1:5" ht="12.75" x14ac:dyDescent="0.2">
      <c r="A605" s="16"/>
      <c r="E605" s="5"/>
    </row>
    <row r="606" spans="1:5" ht="12.75" x14ac:dyDescent="0.2">
      <c r="A606" s="16"/>
      <c r="E606" s="5"/>
    </row>
    <row r="607" spans="1:5" ht="12.75" x14ac:dyDescent="0.2">
      <c r="A607" s="16"/>
      <c r="E607" s="5"/>
    </row>
    <row r="608" spans="1:5" ht="12.75" x14ac:dyDescent="0.2">
      <c r="A608" s="16"/>
      <c r="E608" s="5"/>
    </row>
    <row r="609" spans="1:5" ht="12.75" x14ac:dyDescent="0.2">
      <c r="A609" s="16"/>
      <c r="E609" s="5"/>
    </row>
    <row r="610" spans="1:5" ht="12.75" x14ac:dyDescent="0.2">
      <c r="A610" s="16"/>
      <c r="E610" s="5"/>
    </row>
    <row r="611" spans="1:5" ht="12.75" x14ac:dyDescent="0.2">
      <c r="A611" s="16"/>
      <c r="E611" s="5"/>
    </row>
    <row r="612" spans="1:5" ht="12.75" x14ac:dyDescent="0.2">
      <c r="A612" s="16"/>
      <c r="E612" s="5"/>
    </row>
    <row r="613" spans="1:5" ht="12.75" x14ac:dyDescent="0.2">
      <c r="A613" s="16"/>
      <c r="E613" s="5"/>
    </row>
    <row r="614" spans="1:5" ht="12.75" x14ac:dyDescent="0.2">
      <c r="A614" s="16"/>
      <c r="E614" s="5"/>
    </row>
    <row r="615" spans="1:5" ht="12.75" x14ac:dyDescent="0.2">
      <c r="A615" s="16"/>
      <c r="E615" s="5"/>
    </row>
    <row r="616" spans="1:5" ht="12.75" x14ac:dyDescent="0.2">
      <c r="A616" s="16"/>
      <c r="E616" s="5"/>
    </row>
    <row r="617" spans="1:5" ht="12.75" x14ac:dyDescent="0.2">
      <c r="A617" s="16"/>
      <c r="E617" s="5"/>
    </row>
    <row r="618" spans="1:5" ht="12.75" x14ac:dyDescent="0.2">
      <c r="A618" s="16"/>
      <c r="E618" s="5"/>
    </row>
    <row r="619" spans="1:5" ht="12.75" x14ac:dyDescent="0.2">
      <c r="A619" s="16"/>
      <c r="E619" s="5"/>
    </row>
    <row r="620" spans="1:5" ht="12.75" x14ac:dyDescent="0.2">
      <c r="A620" s="16"/>
      <c r="E620" s="5"/>
    </row>
    <row r="621" spans="1:5" ht="12.75" x14ac:dyDescent="0.2">
      <c r="A621" s="16"/>
      <c r="E621" s="5"/>
    </row>
    <row r="622" spans="1:5" ht="12.75" x14ac:dyDescent="0.2">
      <c r="A622" s="16"/>
      <c r="E622" s="5"/>
    </row>
    <row r="623" spans="1:5" ht="12.75" x14ac:dyDescent="0.2">
      <c r="A623" s="16"/>
      <c r="E623" s="5"/>
    </row>
    <row r="624" spans="1:5" ht="12.75" x14ac:dyDescent="0.2">
      <c r="A624" s="16"/>
      <c r="E624" s="5"/>
    </row>
    <row r="625" spans="1:5" ht="12.75" x14ac:dyDescent="0.2">
      <c r="A625" s="16"/>
      <c r="E625" s="5"/>
    </row>
    <row r="626" spans="1:5" ht="12.75" x14ac:dyDescent="0.2">
      <c r="A626" s="16"/>
      <c r="E626" s="5"/>
    </row>
    <row r="627" spans="1:5" ht="12.75" x14ac:dyDescent="0.2">
      <c r="A627" s="16"/>
      <c r="E627" s="5"/>
    </row>
    <row r="628" spans="1:5" ht="12.75" x14ac:dyDescent="0.2">
      <c r="A628" s="16"/>
      <c r="E628" s="5"/>
    </row>
    <row r="629" spans="1:5" ht="12.75" x14ac:dyDescent="0.2">
      <c r="A629" s="16"/>
      <c r="E629" s="5"/>
    </row>
    <row r="630" spans="1:5" ht="12.75" x14ac:dyDescent="0.2">
      <c r="A630" s="16"/>
      <c r="E630" s="5"/>
    </row>
    <row r="631" spans="1:5" ht="12.75" x14ac:dyDescent="0.2">
      <c r="A631" s="16"/>
      <c r="E631" s="5"/>
    </row>
    <row r="632" spans="1:5" ht="12.75" x14ac:dyDescent="0.2">
      <c r="A632" s="16"/>
      <c r="E632" s="5"/>
    </row>
    <row r="633" spans="1:5" ht="12.75" x14ac:dyDescent="0.2">
      <c r="A633" s="16"/>
      <c r="E633" s="5"/>
    </row>
    <row r="634" spans="1:5" ht="12.75" x14ac:dyDescent="0.2">
      <c r="A634" s="16"/>
      <c r="E634" s="5"/>
    </row>
    <row r="635" spans="1:5" ht="12.75" x14ac:dyDescent="0.2">
      <c r="A635" s="16"/>
      <c r="E635" s="5"/>
    </row>
    <row r="636" spans="1:5" ht="12.75" x14ac:dyDescent="0.2">
      <c r="A636" s="16"/>
      <c r="E636" s="5"/>
    </row>
    <row r="637" spans="1:5" ht="12.75" x14ac:dyDescent="0.2">
      <c r="A637" s="16"/>
      <c r="E637" s="5"/>
    </row>
    <row r="638" spans="1:5" ht="12.75" x14ac:dyDescent="0.2">
      <c r="A638" s="16"/>
      <c r="E638" s="5"/>
    </row>
    <row r="639" spans="1:5" ht="12.75" x14ac:dyDescent="0.2">
      <c r="A639" s="16"/>
      <c r="E639" s="5"/>
    </row>
    <row r="640" spans="1:5" ht="12.75" x14ac:dyDescent="0.2">
      <c r="A640" s="16"/>
      <c r="E640" s="5"/>
    </row>
    <row r="641" spans="1:5" ht="12.75" x14ac:dyDescent="0.2">
      <c r="A641" s="16"/>
      <c r="E641" s="5"/>
    </row>
    <row r="642" spans="1:5" ht="12.75" x14ac:dyDescent="0.2">
      <c r="A642" s="16"/>
      <c r="E642" s="5"/>
    </row>
    <row r="643" spans="1:5" ht="12.75" x14ac:dyDescent="0.2">
      <c r="A643" s="16"/>
      <c r="E643" s="5"/>
    </row>
    <row r="644" spans="1:5" ht="12.75" x14ac:dyDescent="0.2">
      <c r="A644" s="16"/>
      <c r="E644" s="5"/>
    </row>
    <row r="645" spans="1:5" ht="12.75" x14ac:dyDescent="0.2">
      <c r="A645" s="16"/>
      <c r="E645" s="5"/>
    </row>
    <row r="646" spans="1:5" ht="12.75" x14ac:dyDescent="0.2">
      <c r="A646" s="16"/>
      <c r="E646" s="5"/>
    </row>
    <row r="647" spans="1:5" ht="12.75" x14ac:dyDescent="0.2">
      <c r="A647" s="16"/>
      <c r="E647" s="5"/>
    </row>
    <row r="648" spans="1:5" ht="12.75" x14ac:dyDescent="0.2">
      <c r="A648" s="16"/>
      <c r="E648" s="5"/>
    </row>
    <row r="649" spans="1:5" ht="12.75" x14ac:dyDescent="0.2">
      <c r="A649" s="16"/>
      <c r="E649" s="5"/>
    </row>
    <row r="650" spans="1:5" ht="12.75" x14ac:dyDescent="0.2">
      <c r="A650" s="16"/>
      <c r="E650" s="5"/>
    </row>
    <row r="651" spans="1:5" ht="12.75" x14ac:dyDescent="0.2">
      <c r="A651" s="16"/>
      <c r="E651" s="5"/>
    </row>
    <row r="652" spans="1:5" ht="12.75" x14ac:dyDescent="0.2">
      <c r="A652" s="16"/>
      <c r="E652" s="5"/>
    </row>
    <row r="653" spans="1:5" ht="12.75" x14ac:dyDescent="0.2">
      <c r="A653" s="16"/>
      <c r="E653" s="5"/>
    </row>
    <row r="654" spans="1:5" ht="12.75" x14ac:dyDescent="0.2">
      <c r="A654" s="16"/>
      <c r="E654" s="5"/>
    </row>
    <row r="655" spans="1:5" ht="12.75" x14ac:dyDescent="0.2">
      <c r="A655" s="16"/>
      <c r="E655" s="5"/>
    </row>
    <row r="656" spans="1:5" ht="12.75" x14ac:dyDescent="0.2">
      <c r="A656" s="16"/>
      <c r="E656" s="5"/>
    </row>
    <row r="657" spans="1:5" ht="12.75" x14ac:dyDescent="0.2">
      <c r="A657" s="16"/>
      <c r="E657" s="5"/>
    </row>
    <row r="658" spans="1:5" ht="12.75" x14ac:dyDescent="0.2">
      <c r="A658" s="16"/>
      <c r="E658" s="5"/>
    </row>
    <row r="659" spans="1:5" ht="12.75" x14ac:dyDescent="0.2">
      <c r="A659" s="16"/>
      <c r="E659" s="5"/>
    </row>
    <row r="660" spans="1:5" ht="12.75" x14ac:dyDescent="0.2">
      <c r="A660" s="16"/>
      <c r="E660" s="5"/>
    </row>
    <row r="661" spans="1:5" ht="12.75" x14ac:dyDescent="0.2">
      <c r="A661" s="16"/>
      <c r="E661" s="5"/>
    </row>
    <row r="662" spans="1:5" ht="12.75" x14ac:dyDescent="0.2">
      <c r="A662" s="16"/>
      <c r="E662" s="5"/>
    </row>
    <row r="663" spans="1:5" ht="12.75" x14ac:dyDescent="0.2">
      <c r="A663" s="16"/>
      <c r="E663" s="5"/>
    </row>
    <row r="664" spans="1:5" ht="12.75" x14ac:dyDescent="0.2">
      <c r="A664" s="16"/>
      <c r="E664" s="5"/>
    </row>
    <row r="665" spans="1:5" ht="12.75" x14ac:dyDescent="0.2">
      <c r="A665" s="16"/>
      <c r="E665" s="5"/>
    </row>
    <row r="666" spans="1:5" ht="12.75" x14ac:dyDescent="0.2">
      <c r="A666" s="16"/>
      <c r="E666" s="5"/>
    </row>
    <row r="667" spans="1:5" ht="12.75" x14ac:dyDescent="0.2">
      <c r="A667" s="16"/>
      <c r="E667" s="5"/>
    </row>
    <row r="668" spans="1:5" ht="12.75" x14ac:dyDescent="0.2">
      <c r="A668" s="16"/>
      <c r="E668" s="5"/>
    </row>
    <row r="669" spans="1:5" ht="12.75" x14ac:dyDescent="0.2">
      <c r="A669" s="16"/>
      <c r="E669" s="5"/>
    </row>
    <row r="670" spans="1:5" ht="12.75" x14ac:dyDescent="0.2">
      <c r="A670" s="16"/>
      <c r="E670" s="5"/>
    </row>
    <row r="671" spans="1:5" ht="12.75" x14ac:dyDescent="0.2">
      <c r="A671" s="16"/>
      <c r="E671" s="5"/>
    </row>
    <row r="672" spans="1:5" ht="12.75" x14ac:dyDescent="0.2">
      <c r="A672" s="16"/>
      <c r="E672" s="5"/>
    </row>
    <row r="673" spans="1:5" ht="12.75" x14ac:dyDescent="0.2">
      <c r="A673" s="16"/>
      <c r="E673" s="5"/>
    </row>
    <row r="674" spans="1:5" ht="12.75" x14ac:dyDescent="0.2">
      <c r="A674" s="16"/>
      <c r="E674" s="5"/>
    </row>
    <row r="675" spans="1:5" ht="12.75" x14ac:dyDescent="0.2">
      <c r="A675" s="16"/>
      <c r="E675" s="5"/>
    </row>
    <row r="676" spans="1:5" ht="12.75" x14ac:dyDescent="0.2">
      <c r="A676" s="16"/>
      <c r="E676" s="5"/>
    </row>
    <row r="677" spans="1:5" ht="12.75" x14ac:dyDescent="0.2">
      <c r="A677" s="16"/>
      <c r="E677" s="5"/>
    </row>
    <row r="678" spans="1:5" ht="12.75" x14ac:dyDescent="0.2">
      <c r="A678" s="16"/>
      <c r="E678" s="5"/>
    </row>
    <row r="679" spans="1:5" ht="12.75" x14ac:dyDescent="0.2">
      <c r="A679" s="16"/>
      <c r="E679" s="5"/>
    </row>
    <row r="680" spans="1:5" ht="12.75" x14ac:dyDescent="0.2">
      <c r="A680" s="16"/>
      <c r="E680" s="5"/>
    </row>
    <row r="681" spans="1:5" ht="12.75" x14ac:dyDescent="0.2">
      <c r="A681" s="16"/>
      <c r="E681" s="5"/>
    </row>
    <row r="682" spans="1:5" ht="12.75" x14ac:dyDescent="0.2">
      <c r="A682" s="16"/>
      <c r="E682" s="5"/>
    </row>
    <row r="683" spans="1:5" ht="12.75" x14ac:dyDescent="0.2">
      <c r="A683" s="16"/>
      <c r="E683" s="5"/>
    </row>
    <row r="684" spans="1:5" ht="12.75" x14ac:dyDescent="0.2">
      <c r="A684" s="16"/>
      <c r="E684" s="5"/>
    </row>
    <row r="685" spans="1:5" ht="12.75" x14ac:dyDescent="0.2">
      <c r="A685" s="16"/>
      <c r="E685" s="5"/>
    </row>
    <row r="686" spans="1:5" ht="12.75" x14ac:dyDescent="0.2">
      <c r="A686" s="16"/>
      <c r="E686" s="5"/>
    </row>
    <row r="687" spans="1:5" ht="12.75" x14ac:dyDescent="0.2">
      <c r="A687" s="16"/>
      <c r="E687" s="5"/>
    </row>
    <row r="688" spans="1:5" ht="12.75" x14ac:dyDescent="0.2">
      <c r="A688" s="16"/>
      <c r="E688" s="5"/>
    </row>
    <row r="689" spans="1:5" ht="12.75" x14ac:dyDescent="0.2">
      <c r="A689" s="16"/>
      <c r="E689" s="5"/>
    </row>
    <row r="690" spans="1:5" ht="12.75" x14ac:dyDescent="0.2">
      <c r="A690" s="16"/>
      <c r="E690" s="5"/>
    </row>
    <row r="691" spans="1:5" ht="12.75" x14ac:dyDescent="0.2">
      <c r="A691" s="16"/>
      <c r="E691" s="5"/>
    </row>
    <row r="692" spans="1:5" ht="12.75" x14ac:dyDescent="0.2">
      <c r="A692" s="16"/>
      <c r="E692" s="5"/>
    </row>
    <row r="693" spans="1:5" ht="12.75" x14ac:dyDescent="0.2">
      <c r="A693" s="16"/>
      <c r="E693" s="5"/>
    </row>
    <row r="694" spans="1:5" ht="12.75" x14ac:dyDescent="0.2">
      <c r="A694" s="16"/>
      <c r="E694" s="5"/>
    </row>
    <row r="695" spans="1:5" ht="12.75" x14ac:dyDescent="0.2">
      <c r="A695" s="16"/>
      <c r="E695" s="5"/>
    </row>
    <row r="696" spans="1:5" ht="12.75" x14ac:dyDescent="0.2">
      <c r="A696" s="16"/>
      <c r="E696" s="5"/>
    </row>
    <row r="697" spans="1:5" ht="12.75" x14ac:dyDescent="0.2">
      <c r="A697" s="16"/>
      <c r="E697" s="5"/>
    </row>
    <row r="698" spans="1:5" ht="12.75" x14ac:dyDescent="0.2">
      <c r="A698" s="16"/>
      <c r="E698" s="5"/>
    </row>
    <row r="699" spans="1:5" ht="12.75" x14ac:dyDescent="0.2">
      <c r="A699" s="16"/>
      <c r="E699" s="5"/>
    </row>
    <row r="700" spans="1:5" ht="12.75" x14ac:dyDescent="0.2">
      <c r="A700" s="16"/>
      <c r="E700" s="5"/>
    </row>
    <row r="701" spans="1:5" ht="12.75" x14ac:dyDescent="0.2">
      <c r="A701" s="16"/>
      <c r="E701" s="5"/>
    </row>
    <row r="702" spans="1:5" ht="12.75" x14ac:dyDescent="0.2">
      <c r="A702" s="16"/>
      <c r="E702" s="5"/>
    </row>
    <row r="703" spans="1:5" ht="12.75" x14ac:dyDescent="0.2">
      <c r="A703" s="16"/>
      <c r="E703" s="5"/>
    </row>
    <row r="704" spans="1:5" ht="12.75" x14ac:dyDescent="0.2">
      <c r="A704" s="16"/>
      <c r="E704" s="5"/>
    </row>
    <row r="705" spans="1:5" ht="12.75" x14ac:dyDescent="0.2">
      <c r="A705" s="16"/>
      <c r="E705" s="5"/>
    </row>
    <row r="706" spans="1:5" ht="12.75" x14ac:dyDescent="0.2">
      <c r="A706" s="16"/>
      <c r="E706" s="5"/>
    </row>
    <row r="707" spans="1:5" ht="12.75" x14ac:dyDescent="0.2">
      <c r="A707" s="16"/>
      <c r="E707" s="5"/>
    </row>
    <row r="708" spans="1:5" ht="12.75" x14ac:dyDescent="0.2">
      <c r="A708" s="16"/>
      <c r="E708" s="5"/>
    </row>
    <row r="709" spans="1:5" ht="12.75" x14ac:dyDescent="0.2">
      <c r="A709" s="16"/>
      <c r="E709" s="5"/>
    </row>
    <row r="710" spans="1:5" ht="12.75" x14ac:dyDescent="0.2">
      <c r="A710" s="16"/>
      <c r="E710" s="5"/>
    </row>
    <row r="711" spans="1:5" ht="12.75" x14ac:dyDescent="0.2">
      <c r="A711" s="16"/>
      <c r="E711" s="5"/>
    </row>
    <row r="712" spans="1:5" ht="12.75" x14ac:dyDescent="0.2">
      <c r="A712" s="16"/>
      <c r="E712" s="5"/>
    </row>
    <row r="713" spans="1:5" ht="12.75" x14ac:dyDescent="0.2">
      <c r="A713" s="16"/>
      <c r="E713" s="5"/>
    </row>
    <row r="714" spans="1:5" ht="12.75" x14ac:dyDescent="0.2">
      <c r="A714" s="16"/>
      <c r="E714" s="5"/>
    </row>
    <row r="715" spans="1:5" ht="12.75" x14ac:dyDescent="0.2">
      <c r="A715" s="16"/>
      <c r="E715" s="5"/>
    </row>
    <row r="716" spans="1:5" ht="12.75" x14ac:dyDescent="0.2">
      <c r="A716" s="16"/>
      <c r="E716" s="5"/>
    </row>
    <row r="717" spans="1:5" ht="12.75" x14ac:dyDescent="0.2">
      <c r="A717" s="16"/>
      <c r="E717" s="5"/>
    </row>
    <row r="718" spans="1:5" ht="12.75" x14ac:dyDescent="0.2">
      <c r="A718" s="16"/>
      <c r="E718" s="5"/>
    </row>
    <row r="719" spans="1:5" ht="12.75" x14ac:dyDescent="0.2">
      <c r="A719" s="16"/>
      <c r="E719" s="5"/>
    </row>
    <row r="720" spans="1:5" ht="12.75" x14ac:dyDescent="0.2">
      <c r="A720" s="16"/>
      <c r="E720" s="5"/>
    </row>
    <row r="721" spans="1:5" ht="12.75" x14ac:dyDescent="0.2">
      <c r="A721" s="16"/>
      <c r="E721" s="5"/>
    </row>
    <row r="722" spans="1:5" ht="12.75" x14ac:dyDescent="0.2">
      <c r="A722" s="16"/>
      <c r="E722" s="5"/>
    </row>
    <row r="723" spans="1:5" ht="12.75" x14ac:dyDescent="0.2">
      <c r="A723" s="16"/>
      <c r="E723" s="5"/>
    </row>
    <row r="724" spans="1:5" ht="12.75" x14ac:dyDescent="0.2">
      <c r="A724" s="16"/>
      <c r="E724" s="5"/>
    </row>
    <row r="725" spans="1:5" ht="12.75" x14ac:dyDescent="0.2">
      <c r="A725" s="16"/>
      <c r="E725" s="5"/>
    </row>
    <row r="726" spans="1:5" ht="12.75" x14ac:dyDescent="0.2">
      <c r="A726" s="16"/>
      <c r="E726" s="5"/>
    </row>
    <row r="727" spans="1:5" ht="12.75" x14ac:dyDescent="0.2">
      <c r="A727" s="16"/>
      <c r="E727" s="5"/>
    </row>
    <row r="728" spans="1:5" ht="12.75" x14ac:dyDescent="0.2">
      <c r="A728" s="16"/>
      <c r="E728" s="5"/>
    </row>
    <row r="729" spans="1:5" ht="12.75" x14ac:dyDescent="0.2">
      <c r="A729" s="16"/>
      <c r="E729" s="5"/>
    </row>
    <row r="730" spans="1:5" ht="12.75" x14ac:dyDescent="0.2">
      <c r="A730" s="16"/>
      <c r="E730" s="5"/>
    </row>
    <row r="731" spans="1:5" ht="12.75" x14ac:dyDescent="0.2">
      <c r="A731" s="16"/>
      <c r="E731" s="5"/>
    </row>
    <row r="732" spans="1:5" ht="12.75" x14ac:dyDescent="0.2">
      <c r="A732" s="16"/>
      <c r="E732" s="5"/>
    </row>
    <row r="733" spans="1:5" ht="12.75" x14ac:dyDescent="0.2">
      <c r="A733" s="16"/>
      <c r="E733" s="5"/>
    </row>
    <row r="734" spans="1:5" ht="12.75" x14ac:dyDescent="0.2">
      <c r="A734" s="16"/>
      <c r="E734" s="5"/>
    </row>
    <row r="735" spans="1:5" ht="12.75" x14ac:dyDescent="0.2">
      <c r="A735" s="16"/>
      <c r="E735" s="5"/>
    </row>
    <row r="736" spans="1:5" ht="12.75" x14ac:dyDescent="0.2">
      <c r="A736" s="16"/>
      <c r="E736" s="5"/>
    </row>
    <row r="737" spans="1:5" ht="12.75" x14ac:dyDescent="0.2">
      <c r="A737" s="16"/>
      <c r="E737" s="5"/>
    </row>
    <row r="738" spans="1:5" ht="12.75" x14ac:dyDescent="0.2">
      <c r="A738" s="16"/>
      <c r="E738" s="5"/>
    </row>
    <row r="739" spans="1:5" ht="12.75" x14ac:dyDescent="0.2">
      <c r="A739" s="16"/>
      <c r="E739" s="5"/>
    </row>
    <row r="740" spans="1:5" ht="12.75" x14ac:dyDescent="0.2">
      <c r="A740" s="16"/>
      <c r="E740" s="5"/>
    </row>
    <row r="741" spans="1:5" ht="12.75" x14ac:dyDescent="0.2">
      <c r="A741" s="16"/>
      <c r="E741" s="5"/>
    </row>
    <row r="742" spans="1:5" ht="12.75" x14ac:dyDescent="0.2">
      <c r="A742" s="16"/>
      <c r="E742" s="5"/>
    </row>
    <row r="743" spans="1:5" ht="12.75" x14ac:dyDescent="0.2">
      <c r="A743" s="16"/>
      <c r="E743" s="5"/>
    </row>
    <row r="744" spans="1:5" ht="12.75" x14ac:dyDescent="0.2">
      <c r="A744" s="16"/>
      <c r="E744" s="5"/>
    </row>
    <row r="745" spans="1:5" ht="12.75" x14ac:dyDescent="0.2">
      <c r="A745" s="16"/>
      <c r="E745" s="5"/>
    </row>
    <row r="746" spans="1:5" ht="12.75" x14ac:dyDescent="0.2">
      <c r="A746" s="16"/>
      <c r="E746" s="5"/>
    </row>
    <row r="747" spans="1:5" ht="12.75" x14ac:dyDescent="0.2">
      <c r="A747" s="16"/>
      <c r="E747" s="5"/>
    </row>
    <row r="748" spans="1:5" ht="12.75" x14ac:dyDescent="0.2">
      <c r="A748" s="16"/>
      <c r="E748" s="5"/>
    </row>
    <row r="749" spans="1:5" ht="12.75" x14ac:dyDescent="0.2">
      <c r="A749" s="16"/>
      <c r="E749" s="5"/>
    </row>
    <row r="750" spans="1:5" ht="12.75" x14ac:dyDescent="0.2">
      <c r="A750" s="16"/>
      <c r="E750" s="5"/>
    </row>
    <row r="751" spans="1:5" ht="12.75" x14ac:dyDescent="0.2">
      <c r="A751" s="16"/>
      <c r="E751" s="5"/>
    </row>
    <row r="752" spans="1:5" ht="12.75" x14ac:dyDescent="0.2">
      <c r="A752" s="16"/>
      <c r="E752" s="5"/>
    </row>
    <row r="753" spans="1:5" ht="12.75" x14ac:dyDescent="0.2">
      <c r="A753" s="16"/>
      <c r="E753" s="5"/>
    </row>
    <row r="754" spans="1:5" ht="12.75" x14ac:dyDescent="0.2">
      <c r="A754" s="16"/>
      <c r="E754" s="5"/>
    </row>
    <row r="755" spans="1:5" ht="12.75" x14ac:dyDescent="0.2">
      <c r="A755" s="16"/>
      <c r="E755" s="5"/>
    </row>
    <row r="756" spans="1:5" ht="12.75" x14ac:dyDescent="0.2">
      <c r="A756" s="16"/>
      <c r="E756" s="5"/>
    </row>
    <row r="757" spans="1:5" ht="12.75" x14ac:dyDescent="0.2">
      <c r="A757" s="16"/>
      <c r="E757" s="5"/>
    </row>
    <row r="758" spans="1:5" ht="12.75" x14ac:dyDescent="0.2">
      <c r="A758" s="16"/>
      <c r="E758" s="5"/>
    </row>
    <row r="759" spans="1:5" ht="12.75" x14ac:dyDescent="0.2">
      <c r="A759" s="16"/>
      <c r="E759" s="5"/>
    </row>
    <row r="760" spans="1:5" ht="12.75" x14ac:dyDescent="0.2">
      <c r="A760" s="16"/>
      <c r="E760" s="5"/>
    </row>
    <row r="761" spans="1:5" ht="12.75" x14ac:dyDescent="0.2">
      <c r="A761" s="16"/>
      <c r="E761" s="5"/>
    </row>
    <row r="762" spans="1:5" ht="12.75" x14ac:dyDescent="0.2">
      <c r="A762" s="16"/>
      <c r="E762" s="5"/>
    </row>
    <row r="763" spans="1:5" ht="12.75" x14ac:dyDescent="0.2">
      <c r="A763" s="16"/>
      <c r="E763" s="5"/>
    </row>
    <row r="764" spans="1:5" ht="12.75" x14ac:dyDescent="0.2">
      <c r="A764" s="16"/>
      <c r="E764" s="5"/>
    </row>
    <row r="765" spans="1:5" ht="12.75" x14ac:dyDescent="0.2">
      <c r="A765" s="16"/>
      <c r="E765" s="5"/>
    </row>
    <row r="766" spans="1:5" ht="12.75" x14ac:dyDescent="0.2">
      <c r="A766" s="16"/>
      <c r="E766" s="5"/>
    </row>
    <row r="767" spans="1:5" ht="12.75" x14ac:dyDescent="0.2">
      <c r="A767" s="16"/>
      <c r="E767" s="5"/>
    </row>
    <row r="768" spans="1:5" ht="12.75" x14ac:dyDescent="0.2">
      <c r="A768" s="16"/>
      <c r="E768" s="5"/>
    </row>
    <row r="769" spans="1:5" ht="12.75" x14ac:dyDescent="0.2">
      <c r="A769" s="16"/>
      <c r="E769" s="5"/>
    </row>
    <row r="770" spans="1:5" ht="12.75" x14ac:dyDescent="0.2">
      <c r="A770" s="16"/>
      <c r="E770" s="5"/>
    </row>
    <row r="771" spans="1:5" ht="12.75" x14ac:dyDescent="0.2">
      <c r="A771" s="16"/>
      <c r="E771" s="5"/>
    </row>
    <row r="772" spans="1:5" ht="12.75" x14ac:dyDescent="0.2">
      <c r="A772" s="16"/>
      <c r="E772" s="5"/>
    </row>
    <row r="773" spans="1:5" ht="12.75" x14ac:dyDescent="0.2">
      <c r="A773" s="16"/>
      <c r="E773" s="5"/>
    </row>
    <row r="774" spans="1:5" ht="12.75" x14ac:dyDescent="0.2">
      <c r="A774" s="16"/>
      <c r="E774" s="5"/>
    </row>
    <row r="775" spans="1:5" ht="12.75" x14ac:dyDescent="0.2">
      <c r="A775" s="16"/>
      <c r="E775" s="5"/>
    </row>
    <row r="776" spans="1:5" ht="12.75" x14ac:dyDescent="0.2">
      <c r="A776" s="16"/>
      <c r="E776" s="5"/>
    </row>
    <row r="777" spans="1:5" ht="12.75" x14ac:dyDescent="0.2">
      <c r="A777" s="16"/>
      <c r="E777" s="5"/>
    </row>
    <row r="778" spans="1:5" ht="12.75" x14ac:dyDescent="0.2">
      <c r="A778" s="16"/>
      <c r="E778" s="5"/>
    </row>
    <row r="779" spans="1:5" ht="12.75" x14ac:dyDescent="0.2">
      <c r="A779" s="16"/>
      <c r="E779" s="5"/>
    </row>
    <row r="780" spans="1:5" ht="12.75" x14ac:dyDescent="0.2">
      <c r="A780" s="16"/>
      <c r="E780" s="5"/>
    </row>
    <row r="781" spans="1:5" ht="12.75" x14ac:dyDescent="0.2">
      <c r="A781" s="16"/>
      <c r="E781" s="5"/>
    </row>
    <row r="782" spans="1:5" ht="12.75" x14ac:dyDescent="0.2">
      <c r="A782" s="16"/>
      <c r="E782" s="5"/>
    </row>
    <row r="783" spans="1:5" ht="12.75" x14ac:dyDescent="0.2">
      <c r="A783" s="16"/>
      <c r="E783" s="5"/>
    </row>
    <row r="784" spans="1:5" ht="12.75" x14ac:dyDescent="0.2">
      <c r="A784" s="16"/>
      <c r="E784" s="5"/>
    </row>
    <row r="785" spans="1:5" ht="12.75" x14ac:dyDescent="0.2">
      <c r="A785" s="16"/>
      <c r="E785" s="5"/>
    </row>
    <row r="786" spans="1:5" ht="12.75" x14ac:dyDescent="0.2">
      <c r="A786" s="16"/>
      <c r="E786" s="5"/>
    </row>
    <row r="787" spans="1:5" ht="12.75" x14ac:dyDescent="0.2">
      <c r="A787" s="16"/>
      <c r="E787" s="5"/>
    </row>
    <row r="788" spans="1:5" ht="12.75" x14ac:dyDescent="0.2">
      <c r="A788" s="16"/>
      <c r="E788" s="5"/>
    </row>
    <row r="789" spans="1:5" ht="12.75" x14ac:dyDescent="0.2">
      <c r="A789" s="16"/>
      <c r="E789" s="5"/>
    </row>
    <row r="790" spans="1:5" ht="12.75" x14ac:dyDescent="0.2">
      <c r="A790" s="16"/>
      <c r="E790" s="5"/>
    </row>
    <row r="791" spans="1:5" ht="12.75" x14ac:dyDescent="0.2">
      <c r="A791" s="16"/>
      <c r="E791" s="5"/>
    </row>
    <row r="792" spans="1:5" ht="12.75" x14ac:dyDescent="0.2">
      <c r="A792" s="16"/>
      <c r="E792" s="5"/>
    </row>
    <row r="793" spans="1:5" ht="12.75" x14ac:dyDescent="0.2">
      <c r="A793" s="16"/>
      <c r="E793" s="5"/>
    </row>
    <row r="794" spans="1:5" ht="12.75" x14ac:dyDescent="0.2">
      <c r="A794" s="16"/>
      <c r="E794" s="5"/>
    </row>
    <row r="795" spans="1:5" ht="12.75" x14ac:dyDescent="0.2">
      <c r="A795" s="16"/>
      <c r="E795" s="5"/>
    </row>
    <row r="796" spans="1:5" ht="12.75" x14ac:dyDescent="0.2">
      <c r="A796" s="16"/>
      <c r="E796" s="5"/>
    </row>
    <row r="797" spans="1:5" ht="12.75" x14ac:dyDescent="0.2">
      <c r="A797" s="16"/>
      <c r="E797" s="5"/>
    </row>
    <row r="798" spans="1:5" ht="12.75" x14ac:dyDescent="0.2">
      <c r="A798" s="16"/>
      <c r="E798" s="5"/>
    </row>
    <row r="799" spans="1:5" ht="12.75" x14ac:dyDescent="0.2">
      <c r="A799" s="16"/>
      <c r="E799" s="5"/>
    </row>
    <row r="800" spans="1:5" ht="12.75" x14ac:dyDescent="0.2">
      <c r="A800" s="16"/>
      <c r="E800" s="5"/>
    </row>
    <row r="801" spans="1:5" ht="12.75" x14ac:dyDescent="0.2">
      <c r="A801" s="16"/>
      <c r="E801" s="5"/>
    </row>
    <row r="802" spans="1:5" ht="12.75" x14ac:dyDescent="0.2">
      <c r="A802" s="16"/>
      <c r="E802" s="5"/>
    </row>
    <row r="803" spans="1:5" ht="12.75" x14ac:dyDescent="0.2">
      <c r="A803" s="16"/>
      <c r="E803" s="5"/>
    </row>
    <row r="804" spans="1:5" ht="12.75" x14ac:dyDescent="0.2">
      <c r="A804" s="16"/>
      <c r="E804" s="5"/>
    </row>
    <row r="805" spans="1:5" ht="12.75" x14ac:dyDescent="0.2">
      <c r="A805" s="16"/>
      <c r="E805" s="5"/>
    </row>
    <row r="806" spans="1:5" ht="12.75" x14ac:dyDescent="0.2">
      <c r="A806" s="16"/>
      <c r="E806" s="5"/>
    </row>
    <row r="807" spans="1:5" ht="12.75" x14ac:dyDescent="0.2">
      <c r="A807" s="16"/>
      <c r="E807" s="5"/>
    </row>
    <row r="808" spans="1:5" ht="12.75" x14ac:dyDescent="0.2">
      <c r="A808" s="16"/>
      <c r="E808" s="5"/>
    </row>
    <row r="809" spans="1:5" ht="12.75" x14ac:dyDescent="0.2">
      <c r="A809" s="16"/>
      <c r="E809" s="5"/>
    </row>
    <row r="810" spans="1:5" ht="12.75" x14ac:dyDescent="0.2">
      <c r="A810" s="16"/>
      <c r="E810" s="5"/>
    </row>
    <row r="811" spans="1:5" ht="12.75" x14ac:dyDescent="0.2">
      <c r="A811" s="16"/>
      <c r="E811" s="5"/>
    </row>
    <row r="812" spans="1:5" ht="12.75" x14ac:dyDescent="0.2">
      <c r="A812" s="16"/>
      <c r="E812" s="5"/>
    </row>
    <row r="813" spans="1:5" ht="12.75" x14ac:dyDescent="0.2">
      <c r="A813" s="16"/>
      <c r="E813" s="5"/>
    </row>
    <row r="814" spans="1:5" ht="12.75" x14ac:dyDescent="0.2">
      <c r="A814" s="16"/>
      <c r="E814" s="5"/>
    </row>
    <row r="815" spans="1:5" ht="12.75" x14ac:dyDescent="0.2">
      <c r="A815" s="16"/>
      <c r="E815" s="5"/>
    </row>
    <row r="816" spans="1:5" ht="12.75" x14ac:dyDescent="0.2">
      <c r="A816" s="16"/>
      <c r="E816" s="5"/>
    </row>
    <row r="817" spans="1:5" ht="12.75" x14ac:dyDescent="0.2">
      <c r="A817" s="16"/>
      <c r="E817" s="5"/>
    </row>
    <row r="818" spans="1:5" ht="12.75" x14ac:dyDescent="0.2">
      <c r="A818" s="16"/>
      <c r="E818" s="5"/>
    </row>
    <row r="819" spans="1:5" ht="12.75" x14ac:dyDescent="0.2">
      <c r="A819" s="16"/>
      <c r="E819" s="5"/>
    </row>
    <row r="820" spans="1:5" ht="12.75" x14ac:dyDescent="0.2">
      <c r="A820" s="16"/>
      <c r="E820" s="5"/>
    </row>
    <row r="821" spans="1:5" ht="12.75" x14ac:dyDescent="0.2">
      <c r="A821" s="16"/>
      <c r="E821" s="5"/>
    </row>
    <row r="822" spans="1:5" ht="12.75" x14ac:dyDescent="0.2">
      <c r="A822" s="16"/>
      <c r="E822" s="5"/>
    </row>
    <row r="823" spans="1:5" ht="12.75" x14ac:dyDescent="0.2">
      <c r="A823" s="16"/>
      <c r="E823" s="5"/>
    </row>
    <row r="824" spans="1:5" ht="12.75" x14ac:dyDescent="0.2">
      <c r="A824" s="16"/>
      <c r="E824" s="5"/>
    </row>
    <row r="825" spans="1:5" ht="12.75" x14ac:dyDescent="0.2">
      <c r="A825" s="16"/>
      <c r="E825" s="5"/>
    </row>
    <row r="826" spans="1:5" ht="12.75" x14ac:dyDescent="0.2">
      <c r="A826" s="16"/>
      <c r="E826" s="5"/>
    </row>
    <row r="827" spans="1:5" ht="12.75" x14ac:dyDescent="0.2">
      <c r="A827" s="16"/>
      <c r="E827" s="5"/>
    </row>
    <row r="828" spans="1:5" ht="12.75" x14ac:dyDescent="0.2">
      <c r="A828" s="16"/>
      <c r="E828" s="5"/>
    </row>
    <row r="829" spans="1:5" ht="12.75" x14ac:dyDescent="0.2">
      <c r="A829" s="16"/>
      <c r="E829" s="5"/>
    </row>
    <row r="830" spans="1:5" ht="12.75" x14ac:dyDescent="0.2">
      <c r="A830" s="16"/>
      <c r="E830" s="5"/>
    </row>
    <row r="831" spans="1:5" ht="12.75" x14ac:dyDescent="0.2">
      <c r="A831" s="16"/>
      <c r="E831" s="5"/>
    </row>
    <row r="832" spans="1:5" ht="12.75" x14ac:dyDescent="0.2">
      <c r="A832" s="16"/>
      <c r="E832" s="5"/>
    </row>
    <row r="833" spans="1:5" ht="12.75" x14ac:dyDescent="0.2">
      <c r="A833" s="16"/>
      <c r="E833" s="5"/>
    </row>
    <row r="834" spans="1:5" ht="12.75" x14ac:dyDescent="0.2">
      <c r="A834" s="16"/>
      <c r="E834" s="5"/>
    </row>
    <row r="835" spans="1:5" ht="12.75" x14ac:dyDescent="0.2">
      <c r="A835" s="16"/>
      <c r="E835" s="5"/>
    </row>
    <row r="836" spans="1:5" ht="12.75" x14ac:dyDescent="0.2">
      <c r="A836" s="16"/>
      <c r="E836" s="5"/>
    </row>
    <row r="837" spans="1:5" ht="12.75" x14ac:dyDescent="0.2">
      <c r="A837" s="16"/>
      <c r="E837" s="5"/>
    </row>
    <row r="838" spans="1:5" ht="12.75" x14ac:dyDescent="0.2">
      <c r="A838" s="16"/>
      <c r="E838" s="5"/>
    </row>
    <row r="839" spans="1:5" ht="12.75" x14ac:dyDescent="0.2">
      <c r="A839" s="16"/>
      <c r="E839" s="5"/>
    </row>
    <row r="840" spans="1:5" ht="12.75" x14ac:dyDescent="0.2">
      <c r="A840" s="16"/>
      <c r="E840" s="5"/>
    </row>
    <row r="841" spans="1:5" ht="12.75" x14ac:dyDescent="0.2">
      <c r="A841" s="16"/>
      <c r="E841" s="5"/>
    </row>
    <row r="842" spans="1:5" ht="12.75" x14ac:dyDescent="0.2">
      <c r="A842" s="16"/>
      <c r="E842" s="5"/>
    </row>
    <row r="843" spans="1:5" ht="12.75" x14ac:dyDescent="0.2">
      <c r="A843" s="16"/>
      <c r="E843" s="5"/>
    </row>
    <row r="844" spans="1:5" ht="12.75" x14ac:dyDescent="0.2">
      <c r="A844" s="16"/>
      <c r="E844" s="5"/>
    </row>
    <row r="845" spans="1:5" ht="12.75" x14ac:dyDescent="0.2">
      <c r="A845" s="16"/>
      <c r="E845" s="5"/>
    </row>
    <row r="846" spans="1:5" ht="12.75" x14ac:dyDescent="0.2">
      <c r="A846" s="16"/>
      <c r="E846" s="5"/>
    </row>
    <row r="847" spans="1:5" ht="12.75" x14ac:dyDescent="0.2">
      <c r="A847" s="16"/>
      <c r="E847" s="5"/>
    </row>
    <row r="848" spans="1:5" ht="12.75" x14ac:dyDescent="0.2">
      <c r="A848" s="16"/>
      <c r="E848" s="5"/>
    </row>
    <row r="849" spans="1:5" ht="12.75" x14ac:dyDescent="0.2">
      <c r="A849" s="16"/>
      <c r="E849" s="5"/>
    </row>
    <row r="850" spans="1:5" ht="12.75" x14ac:dyDescent="0.2">
      <c r="A850" s="16"/>
      <c r="E850" s="5"/>
    </row>
    <row r="851" spans="1:5" ht="12.75" x14ac:dyDescent="0.2">
      <c r="A851" s="16"/>
      <c r="E851" s="5"/>
    </row>
    <row r="852" spans="1:5" ht="12.75" x14ac:dyDescent="0.2">
      <c r="A852" s="16"/>
      <c r="E852" s="5"/>
    </row>
    <row r="853" spans="1:5" ht="12.75" x14ac:dyDescent="0.2">
      <c r="A853" s="16"/>
      <c r="E853" s="5"/>
    </row>
    <row r="854" spans="1:5" ht="12.75" x14ac:dyDescent="0.2">
      <c r="A854" s="16"/>
      <c r="E854" s="5"/>
    </row>
    <row r="855" spans="1:5" ht="12.75" x14ac:dyDescent="0.2">
      <c r="A855" s="16"/>
      <c r="E855" s="5"/>
    </row>
    <row r="856" spans="1:5" ht="12.75" x14ac:dyDescent="0.2">
      <c r="A856" s="16"/>
      <c r="E856" s="5"/>
    </row>
    <row r="857" spans="1:5" ht="12.75" x14ac:dyDescent="0.2">
      <c r="A857" s="16"/>
      <c r="E857" s="5"/>
    </row>
    <row r="858" spans="1:5" ht="12.75" x14ac:dyDescent="0.2">
      <c r="A858" s="16"/>
      <c r="E858" s="5"/>
    </row>
    <row r="859" spans="1:5" ht="12.75" x14ac:dyDescent="0.2">
      <c r="A859" s="16"/>
      <c r="E859" s="5"/>
    </row>
    <row r="860" spans="1:5" ht="12.75" x14ac:dyDescent="0.2">
      <c r="A860" s="16"/>
      <c r="E860" s="5"/>
    </row>
    <row r="861" spans="1:5" ht="12.75" x14ac:dyDescent="0.2">
      <c r="A861" s="16"/>
      <c r="E861" s="5"/>
    </row>
    <row r="862" spans="1:5" ht="12.75" x14ac:dyDescent="0.2">
      <c r="A862" s="16"/>
      <c r="E862" s="5"/>
    </row>
    <row r="863" spans="1:5" ht="12.75" x14ac:dyDescent="0.2">
      <c r="A863" s="16"/>
      <c r="E863" s="5"/>
    </row>
    <row r="864" spans="1:5" ht="12.75" x14ac:dyDescent="0.2">
      <c r="A864" s="16"/>
      <c r="E864" s="5"/>
    </row>
    <row r="865" spans="1:5" ht="12.75" x14ac:dyDescent="0.2">
      <c r="A865" s="16"/>
      <c r="E865" s="5"/>
    </row>
    <row r="866" spans="1:5" ht="12.75" x14ac:dyDescent="0.2">
      <c r="A866" s="16"/>
      <c r="E866" s="5"/>
    </row>
    <row r="867" spans="1:5" ht="12.75" x14ac:dyDescent="0.2">
      <c r="A867" s="16"/>
      <c r="E867" s="5"/>
    </row>
    <row r="868" spans="1:5" ht="12.75" x14ac:dyDescent="0.2">
      <c r="A868" s="16"/>
      <c r="E868" s="5"/>
    </row>
    <row r="869" spans="1:5" ht="12.75" x14ac:dyDescent="0.2">
      <c r="A869" s="16"/>
      <c r="E869" s="5"/>
    </row>
    <row r="870" spans="1:5" ht="12.75" x14ac:dyDescent="0.2">
      <c r="A870" s="16"/>
      <c r="E870" s="5"/>
    </row>
    <row r="871" spans="1:5" ht="12.75" x14ac:dyDescent="0.2">
      <c r="A871" s="16"/>
      <c r="E871" s="5"/>
    </row>
    <row r="872" spans="1:5" ht="12.75" x14ac:dyDescent="0.2">
      <c r="A872" s="16"/>
      <c r="E872" s="5"/>
    </row>
    <row r="873" spans="1:5" ht="12.75" x14ac:dyDescent="0.2">
      <c r="A873" s="16"/>
      <c r="E873" s="5"/>
    </row>
    <row r="874" spans="1:5" ht="12.75" x14ac:dyDescent="0.2">
      <c r="A874" s="16"/>
      <c r="E874" s="5"/>
    </row>
    <row r="875" spans="1:5" ht="12.75" x14ac:dyDescent="0.2">
      <c r="A875" s="16"/>
      <c r="E875" s="5"/>
    </row>
    <row r="876" spans="1:5" ht="12.75" x14ac:dyDescent="0.2">
      <c r="A876" s="16"/>
      <c r="E876" s="5"/>
    </row>
    <row r="877" spans="1:5" ht="12.75" x14ac:dyDescent="0.2">
      <c r="A877" s="16"/>
      <c r="E877" s="5"/>
    </row>
    <row r="878" spans="1:5" ht="12.75" x14ac:dyDescent="0.2">
      <c r="A878" s="16"/>
      <c r="E878" s="5"/>
    </row>
    <row r="879" spans="1:5" ht="12.75" x14ac:dyDescent="0.2">
      <c r="A879" s="16"/>
      <c r="E879" s="5"/>
    </row>
    <row r="880" spans="1:5" ht="12.75" x14ac:dyDescent="0.2">
      <c r="A880" s="16"/>
      <c r="E880" s="5"/>
    </row>
    <row r="881" spans="1:5" ht="12.75" x14ac:dyDescent="0.2">
      <c r="A881" s="16"/>
      <c r="E881" s="5"/>
    </row>
    <row r="882" spans="1:5" ht="12.75" x14ac:dyDescent="0.2">
      <c r="A882" s="16"/>
      <c r="E882" s="5"/>
    </row>
    <row r="883" spans="1:5" ht="12.75" x14ac:dyDescent="0.2">
      <c r="A883" s="16"/>
      <c r="E883" s="5"/>
    </row>
    <row r="884" spans="1:5" ht="12.75" x14ac:dyDescent="0.2">
      <c r="A884" s="16"/>
      <c r="E884" s="5"/>
    </row>
    <row r="885" spans="1:5" ht="12.75" x14ac:dyDescent="0.2">
      <c r="A885" s="16"/>
      <c r="E885" s="5"/>
    </row>
    <row r="886" spans="1:5" ht="12.75" x14ac:dyDescent="0.2">
      <c r="A886" s="16"/>
      <c r="E886" s="5"/>
    </row>
    <row r="887" spans="1:5" ht="12.75" x14ac:dyDescent="0.2">
      <c r="A887" s="16"/>
      <c r="E887" s="5"/>
    </row>
    <row r="888" spans="1:5" ht="12.75" x14ac:dyDescent="0.2">
      <c r="A888" s="16"/>
      <c r="E888" s="5"/>
    </row>
    <row r="889" spans="1:5" ht="12.75" x14ac:dyDescent="0.2">
      <c r="A889" s="16"/>
      <c r="E889" s="5"/>
    </row>
    <row r="890" spans="1:5" ht="12.75" x14ac:dyDescent="0.2">
      <c r="A890" s="16"/>
      <c r="E890" s="5"/>
    </row>
    <row r="891" spans="1:5" ht="12.75" x14ac:dyDescent="0.2">
      <c r="A891" s="16"/>
      <c r="E891" s="5"/>
    </row>
    <row r="892" spans="1:5" ht="12.75" x14ac:dyDescent="0.2">
      <c r="A892" s="16"/>
      <c r="E892" s="5"/>
    </row>
    <row r="893" spans="1:5" ht="12.75" x14ac:dyDescent="0.2">
      <c r="A893" s="16"/>
      <c r="E893" s="5"/>
    </row>
    <row r="894" spans="1:5" ht="12.75" x14ac:dyDescent="0.2">
      <c r="A894" s="16"/>
      <c r="E894" s="5"/>
    </row>
    <row r="895" spans="1:5" ht="12.75" x14ac:dyDescent="0.2">
      <c r="A895" s="16"/>
      <c r="E895" s="5"/>
    </row>
    <row r="896" spans="1:5" ht="12.75" x14ac:dyDescent="0.2">
      <c r="A896" s="16"/>
      <c r="E896" s="5"/>
    </row>
    <row r="897" spans="1:5" ht="12.75" x14ac:dyDescent="0.2">
      <c r="A897" s="16"/>
      <c r="E897" s="5"/>
    </row>
    <row r="898" spans="1:5" ht="12.75" x14ac:dyDescent="0.2">
      <c r="A898" s="16"/>
      <c r="E898" s="5"/>
    </row>
    <row r="899" spans="1:5" ht="12.75" x14ac:dyDescent="0.2">
      <c r="A899" s="16"/>
      <c r="E899" s="5"/>
    </row>
    <row r="900" spans="1:5" ht="12.75" x14ac:dyDescent="0.2">
      <c r="A900" s="16"/>
      <c r="E900" s="5"/>
    </row>
    <row r="901" spans="1:5" ht="12.75" x14ac:dyDescent="0.2">
      <c r="A901" s="16"/>
      <c r="E901" s="5"/>
    </row>
    <row r="902" spans="1:5" ht="12.75" x14ac:dyDescent="0.2">
      <c r="A902" s="16"/>
      <c r="E902" s="5"/>
    </row>
    <row r="903" spans="1:5" ht="12.75" x14ac:dyDescent="0.2">
      <c r="A903" s="16"/>
      <c r="E903" s="5"/>
    </row>
    <row r="904" spans="1:5" ht="12.75" x14ac:dyDescent="0.2">
      <c r="A904" s="16"/>
      <c r="E904" s="5"/>
    </row>
    <row r="905" spans="1:5" ht="12.75" x14ac:dyDescent="0.2">
      <c r="A905" s="16"/>
      <c r="E905" s="5"/>
    </row>
    <row r="906" spans="1:5" ht="12.75" x14ac:dyDescent="0.2">
      <c r="A906" s="16"/>
      <c r="E906" s="5"/>
    </row>
    <row r="907" spans="1:5" ht="12.75" x14ac:dyDescent="0.2">
      <c r="A907" s="16"/>
      <c r="E907" s="5"/>
    </row>
    <row r="908" spans="1:5" ht="12.75" x14ac:dyDescent="0.2">
      <c r="A908" s="16"/>
      <c r="E908" s="5"/>
    </row>
    <row r="909" spans="1:5" ht="12.75" x14ac:dyDescent="0.2">
      <c r="A909" s="16"/>
      <c r="E909" s="5"/>
    </row>
    <row r="910" spans="1:5" ht="12.75" x14ac:dyDescent="0.2">
      <c r="A910" s="16"/>
      <c r="E910" s="5"/>
    </row>
    <row r="911" spans="1:5" ht="12.75" x14ac:dyDescent="0.2">
      <c r="A911" s="16"/>
      <c r="E911" s="5"/>
    </row>
    <row r="912" spans="1:5" ht="12.75" x14ac:dyDescent="0.2">
      <c r="A912" s="16"/>
      <c r="E912" s="5"/>
    </row>
    <row r="913" spans="1:5" ht="12.75" x14ac:dyDescent="0.2">
      <c r="A913" s="16"/>
      <c r="E913" s="5"/>
    </row>
    <row r="914" spans="1:5" ht="12.75" x14ac:dyDescent="0.2">
      <c r="A914" s="16"/>
      <c r="E914" s="5"/>
    </row>
    <row r="915" spans="1:5" ht="12.75" x14ac:dyDescent="0.2">
      <c r="A915" s="16"/>
      <c r="E915" s="5"/>
    </row>
    <row r="916" spans="1:5" ht="12.75" x14ac:dyDescent="0.2">
      <c r="A916" s="16"/>
      <c r="E916" s="5"/>
    </row>
    <row r="917" spans="1:5" ht="12.75" x14ac:dyDescent="0.2">
      <c r="A917" s="16"/>
      <c r="E917" s="5"/>
    </row>
    <row r="918" spans="1:5" ht="12.75" x14ac:dyDescent="0.2">
      <c r="A918" s="16"/>
      <c r="E918" s="5"/>
    </row>
    <row r="919" spans="1:5" ht="12.75" x14ac:dyDescent="0.2">
      <c r="A919" s="16"/>
      <c r="E919" s="5"/>
    </row>
    <row r="920" spans="1:5" ht="12.75" x14ac:dyDescent="0.2">
      <c r="A920" s="16"/>
      <c r="E920" s="5"/>
    </row>
    <row r="921" spans="1:5" ht="12.75" x14ac:dyDescent="0.2">
      <c r="A921" s="16"/>
      <c r="E921" s="5"/>
    </row>
    <row r="922" spans="1:5" ht="12.75" x14ac:dyDescent="0.2">
      <c r="A922" s="16"/>
      <c r="E922" s="5"/>
    </row>
    <row r="923" spans="1:5" ht="12.75" x14ac:dyDescent="0.2">
      <c r="A923" s="16"/>
      <c r="E923" s="5"/>
    </row>
    <row r="924" spans="1:5" ht="12.75" x14ac:dyDescent="0.2">
      <c r="A924" s="16"/>
      <c r="E924" s="5"/>
    </row>
    <row r="925" spans="1:5" ht="12.75" x14ac:dyDescent="0.2">
      <c r="A925" s="16"/>
      <c r="E925" s="5"/>
    </row>
    <row r="926" spans="1:5" ht="12.75" x14ac:dyDescent="0.2">
      <c r="A926" s="16"/>
      <c r="E926" s="5"/>
    </row>
    <row r="927" spans="1:5" ht="12.75" x14ac:dyDescent="0.2">
      <c r="A927" s="16"/>
      <c r="E927" s="5"/>
    </row>
    <row r="928" spans="1:5" ht="12.75" x14ac:dyDescent="0.2">
      <c r="A928" s="16"/>
      <c r="E928" s="5"/>
    </row>
    <row r="929" spans="1:5" ht="12.75" x14ac:dyDescent="0.2">
      <c r="A929" s="16"/>
      <c r="E929" s="5"/>
    </row>
    <row r="930" spans="1:5" ht="12.75" x14ac:dyDescent="0.2">
      <c r="A930" s="16"/>
      <c r="E930" s="5"/>
    </row>
    <row r="931" spans="1:5" ht="12.75" x14ac:dyDescent="0.2">
      <c r="A931" s="16"/>
      <c r="E931" s="5"/>
    </row>
    <row r="932" spans="1:5" ht="12.75" x14ac:dyDescent="0.2">
      <c r="A932" s="16"/>
      <c r="E932" s="5"/>
    </row>
    <row r="933" spans="1:5" ht="12.75" x14ac:dyDescent="0.2">
      <c r="A933" s="16"/>
      <c r="E933" s="5"/>
    </row>
    <row r="934" spans="1:5" ht="12.75" x14ac:dyDescent="0.2">
      <c r="A934" s="16"/>
      <c r="E934" s="5"/>
    </row>
    <row r="935" spans="1:5" ht="12.75" x14ac:dyDescent="0.2">
      <c r="A935" s="16"/>
      <c r="E935" s="5"/>
    </row>
    <row r="936" spans="1:5" ht="12.75" x14ac:dyDescent="0.2">
      <c r="A936" s="16"/>
      <c r="E936" s="5"/>
    </row>
    <row r="937" spans="1:5" ht="12.75" x14ac:dyDescent="0.2">
      <c r="A937" s="16"/>
      <c r="E937" s="5"/>
    </row>
    <row r="938" spans="1:5" ht="12.75" x14ac:dyDescent="0.2">
      <c r="A938" s="16"/>
      <c r="E938" s="5"/>
    </row>
    <row r="939" spans="1:5" ht="12.75" x14ac:dyDescent="0.2">
      <c r="A939" s="16"/>
      <c r="E939" s="5"/>
    </row>
    <row r="940" spans="1:5" ht="12.75" x14ac:dyDescent="0.2">
      <c r="A940" s="16"/>
      <c r="E940" s="5"/>
    </row>
    <row r="941" spans="1:5" ht="12.75" x14ac:dyDescent="0.2">
      <c r="A941" s="16"/>
      <c r="E941" s="5"/>
    </row>
    <row r="942" spans="1:5" ht="12.75" x14ac:dyDescent="0.2">
      <c r="A942" s="16"/>
      <c r="E942" s="5"/>
    </row>
    <row r="943" spans="1:5" ht="12.75" x14ac:dyDescent="0.2">
      <c r="A943" s="16"/>
      <c r="E943" s="5"/>
    </row>
    <row r="944" spans="1:5" ht="12.75" x14ac:dyDescent="0.2">
      <c r="A944" s="16"/>
      <c r="E944" s="5"/>
    </row>
    <row r="945" spans="1:5" ht="12.75" x14ac:dyDescent="0.2">
      <c r="A945" s="16"/>
      <c r="E945" s="5"/>
    </row>
    <row r="946" spans="1:5" ht="12.75" x14ac:dyDescent="0.2">
      <c r="A946" s="16"/>
      <c r="E946" s="5"/>
    </row>
    <row r="947" spans="1:5" ht="12.75" x14ac:dyDescent="0.2">
      <c r="A947" s="16"/>
      <c r="E947" s="5"/>
    </row>
    <row r="948" spans="1:5" ht="12.75" x14ac:dyDescent="0.2">
      <c r="A948" s="16"/>
      <c r="E948" s="5"/>
    </row>
    <row r="949" spans="1:5" ht="12.75" x14ac:dyDescent="0.2">
      <c r="A949" s="16"/>
      <c r="E949" s="5"/>
    </row>
    <row r="950" spans="1:5" ht="12.75" x14ac:dyDescent="0.2">
      <c r="A950" s="16"/>
      <c r="E950" s="5"/>
    </row>
    <row r="951" spans="1:5" ht="12.75" x14ac:dyDescent="0.2">
      <c r="A951" s="16"/>
      <c r="E951" s="5"/>
    </row>
    <row r="952" spans="1:5" ht="12.75" x14ac:dyDescent="0.2">
      <c r="A952" s="16"/>
      <c r="E952" s="5"/>
    </row>
    <row r="953" spans="1:5" ht="12.75" x14ac:dyDescent="0.2">
      <c r="A953" s="16"/>
      <c r="E953" s="5"/>
    </row>
    <row r="954" spans="1:5" ht="12.75" x14ac:dyDescent="0.2">
      <c r="A954" s="16"/>
      <c r="E954" s="5"/>
    </row>
    <row r="955" spans="1:5" ht="12.75" x14ac:dyDescent="0.2">
      <c r="A955" s="16"/>
      <c r="E955" s="5"/>
    </row>
    <row r="956" spans="1:5" ht="12.75" x14ac:dyDescent="0.2">
      <c r="A956" s="16"/>
      <c r="E956" s="5"/>
    </row>
    <row r="957" spans="1:5" ht="12.75" x14ac:dyDescent="0.2">
      <c r="A957" s="16"/>
      <c r="E957" s="5"/>
    </row>
    <row r="958" spans="1:5" ht="12.75" x14ac:dyDescent="0.2">
      <c r="A958" s="16"/>
      <c r="E958" s="5"/>
    </row>
    <row r="959" spans="1:5" ht="12.75" x14ac:dyDescent="0.2">
      <c r="A959" s="16"/>
      <c r="E959" s="5"/>
    </row>
    <row r="960" spans="1:5" ht="12.75" x14ac:dyDescent="0.2">
      <c r="A960" s="16"/>
      <c r="E960" s="5"/>
    </row>
    <row r="961" spans="1:5" ht="12.75" x14ac:dyDescent="0.2">
      <c r="A961" s="16"/>
      <c r="E961" s="5"/>
    </row>
    <row r="962" spans="1:5" ht="12.75" x14ac:dyDescent="0.2">
      <c r="A962" s="16"/>
      <c r="E962" s="5"/>
    </row>
    <row r="963" spans="1:5" ht="12.75" x14ac:dyDescent="0.2">
      <c r="A963" s="16"/>
      <c r="E963" s="5"/>
    </row>
    <row r="964" spans="1:5" ht="12.75" x14ac:dyDescent="0.2">
      <c r="A964" s="16"/>
      <c r="E964" s="5"/>
    </row>
    <row r="965" spans="1:5" ht="12.75" x14ac:dyDescent="0.2">
      <c r="A965" s="16"/>
      <c r="E965" s="5"/>
    </row>
    <row r="966" spans="1:5" ht="12.75" x14ac:dyDescent="0.2">
      <c r="A966" s="16"/>
      <c r="E966" s="5"/>
    </row>
    <row r="967" spans="1:5" ht="12.75" x14ac:dyDescent="0.2">
      <c r="A967" s="16"/>
      <c r="E967" s="5"/>
    </row>
    <row r="968" spans="1:5" ht="12.75" x14ac:dyDescent="0.2">
      <c r="A968" s="16"/>
      <c r="E968" s="5"/>
    </row>
    <row r="969" spans="1:5" ht="12.75" x14ac:dyDescent="0.2">
      <c r="A969" s="16"/>
      <c r="E969" s="5"/>
    </row>
    <row r="970" spans="1:5" ht="12.75" x14ac:dyDescent="0.2">
      <c r="A970" s="16"/>
      <c r="E970" s="5"/>
    </row>
    <row r="971" spans="1:5" ht="12.75" x14ac:dyDescent="0.2">
      <c r="A971" s="16"/>
      <c r="E971" s="5"/>
    </row>
    <row r="972" spans="1:5" ht="12.75" x14ac:dyDescent="0.2">
      <c r="A972" s="16"/>
      <c r="E972" s="5"/>
    </row>
    <row r="973" spans="1:5" ht="12.75" x14ac:dyDescent="0.2">
      <c r="A973" s="16"/>
      <c r="E973" s="5"/>
    </row>
    <row r="974" spans="1:5" ht="12.75" x14ac:dyDescent="0.2">
      <c r="A974" s="16"/>
      <c r="E974" s="5"/>
    </row>
    <row r="975" spans="1:5" ht="12.75" x14ac:dyDescent="0.2">
      <c r="A975" s="16"/>
      <c r="E975" s="5"/>
    </row>
    <row r="976" spans="1:5" ht="12.75" x14ac:dyDescent="0.2">
      <c r="A976" s="16"/>
      <c r="E976" s="5"/>
    </row>
    <row r="977" spans="1:5" ht="12.75" x14ac:dyDescent="0.2">
      <c r="A977" s="16"/>
      <c r="E977" s="5"/>
    </row>
    <row r="978" spans="1:5" ht="12.75" x14ac:dyDescent="0.2">
      <c r="A978" s="16"/>
      <c r="E978" s="5"/>
    </row>
    <row r="979" spans="1:5" ht="12.75" x14ac:dyDescent="0.2">
      <c r="A979" s="16"/>
      <c r="E979" s="5"/>
    </row>
    <row r="980" spans="1:5" ht="12.75" x14ac:dyDescent="0.2">
      <c r="A980" s="16"/>
      <c r="E980" s="5"/>
    </row>
    <row r="981" spans="1:5" ht="12.75" x14ac:dyDescent="0.2">
      <c r="A981" s="16"/>
      <c r="E981" s="5"/>
    </row>
    <row r="982" spans="1:5" ht="12.75" x14ac:dyDescent="0.2">
      <c r="A982" s="16"/>
      <c r="E982" s="5"/>
    </row>
    <row r="983" spans="1:5" ht="12.75" x14ac:dyDescent="0.2">
      <c r="A983" s="16"/>
      <c r="E983" s="5"/>
    </row>
    <row r="984" spans="1:5" ht="12.75" x14ac:dyDescent="0.2">
      <c r="A984" s="16"/>
      <c r="E984" s="5"/>
    </row>
    <row r="985" spans="1:5" ht="12.75" x14ac:dyDescent="0.2">
      <c r="A985" s="16"/>
      <c r="E985" s="5"/>
    </row>
    <row r="986" spans="1:5" ht="12.75" x14ac:dyDescent="0.2">
      <c r="A986" s="16"/>
      <c r="E986" s="5"/>
    </row>
    <row r="987" spans="1:5" ht="12.75" x14ac:dyDescent="0.2">
      <c r="A987" s="16"/>
      <c r="E987" s="5"/>
    </row>
    <row r="988" spans="1:5" ht="12.75" x14ac:dyDescent="0.2">
      <c r="A988" s="16"/>
      <c r="E988" s="5"/>
    </row>
    <row r="989" spans="1:5" ht="12.75" x14ac:dyDescent="0.2">
      <c r="A989" s="16"/>
      <c r="E989" s="5"/>
    </row>
    <row r="990" spans="1:5" ht="12.75" x14ac:dyDescent="0.2">
      <c r="A990" s="16"/>
      <c r="E990" s="5"/>
    </row>
    <row r="991" spans="1:5" ht="12.75" x14ac:dyDescent="0.2">
      <c r="A991" s="16"/>
      <c r="E991" s="5"/>
    </row>
    <row r="992" spans="1:5" ht="12.75" x14ac:dyDescent="0.2">
      <c r="A992" s="16"/>
      <c r="E992" s="5"/>
    </row>
    <row r="993" spans="1:5" ht="12.75" x14ac:dyDescent="0.2">
      <c r="A993" s="16"/>
      <c r="E993" s="5"/>
    </row>
    <row r="994" spans="1:5" ht="12.75" x14ac:dyDescent="0.2">
      <c r="A994" s="16"/>
      <c r="E994" s="5"/>
    </row>
    <row r="995" spans="1:5" ht="12.75" x14ac:dyDescent="0.2">
      <c r="A995" s="16"/>
      <c r="E995" s="5"/>
    </row>
    <row r="996" spans="1:5" ht="12.75" x14ac:dyDescent="0.2">
      <c r="A996" s="16"/>
      <c r="E996" s="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outlinePr summaryBelow="0" summaryRight="0"/>
    <pageSetUpPr fitToPage="1"/>
  </sheetPr>
  <dimension ref="A1:Z998"/>
  <sheetViews>
    <sheetView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0.7109375" customWidth="1"/>
    <col min="4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28.5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69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 t="str">
        <f ca="1">IFERROR(__xludf.DUMMYFUNCTION("QUERY(P2:S999,""SELECT * WHERE R IS NOT NULL AND R !='Horse Name' Order By P"")"),"244")</f>
        <v>244</v>
      </c>
      <c r="B2" s="25" t="str">
        <f ca="1">IFERROR(__xludf.DUMMYFUNCTION("""COMPUTED_VALUE"""),"Tana Wells")</f>
        <v>Tana Wells</v>
      </c>
      <c r="C2" s="25" t="str">
        <f ca="1">IFERROR(__xludf.DUMMYFUNCTION("""COMPUTED_VALUE"""),"SHS Camdyns Blue Belle")</f>
        <v>SHS Camdyns Blue Belle</v>
      </c>
      <c r="D2" s="25" t="str">
        <f ca="1">IFERROR(__xludf.DUMMYFUNCTION("""COMPUTED_VALUE"""),"Melissa Walters")</f>
        <v>Melissa Walters</v>
      </c>
      <c r="E2" s="25">
        <v>4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IFERROR(__xludf.DUMMYFUNCTION("""COMPUTED_VALUE"""),244)</f>
        <v>244</v>
      </c>
      <c r="Q2" s="25" t="str">
        <f ca="1">IFERROR(__xludf.DUMMYFUNCTION("""COMPUTED_VALUE"""),"Tana Wells")</f>
        <v>Tana Wells</v>
      </c>
      <c r="R2" s="25" t="str">
        <f ca="1">IFERROR(__xludf.DUMMYFUNCTION("""COMPUTED_VALUE"""),"SHS Camdyns Blue Belle")</f>
        <v>SHS Camdyns Blue Belle</v>
      </c>
      <c r="S2" s="25" t="str">
        <f ca="1">IFERROR(__xludf.DUMMYFUNCTION("""COMPUTED_VALUE"""),"Melissa Walters")</f>
        <v>Melissa Walters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 t="str">
        <f ca="1">IFERROR(__xludf.DUMMYFUNCTION("""COMPUTED_VALUE"""),"301")</f>
        <v>301</v>
      </c>
      <c r="B3" s="25" t="str">
        <f ca="1">IFERROR(__xludf.DUMMYFUNCTION("""COMPUTED_VALUE"""),"Myranda Elliott")</f>
        <v>Myranda Elliott</v>
      </c>
      <c r="C3" s="25" t="str">
        <f ca="1">IFERROR(__xludf.DUMMYFUNCTION("""COMPUTED_VALUE"""),"CCF Unleashed")</f>
        <v>CCF Unleashed</v>
      </c>
      <c r="D3" s="25" t="str">
        <f ca="1">IFERROR(__xludf.DUMMYFUNCTION("""COMPUTED_VALUE"""),"Myranda Elliott")</f>
        <v>Myranda Elliott</v>
      </c>
      <c r="E3" s="25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IFERROR(__xludf.DUMMYFUNCTION("""COMPUTED_VALUE"""),534)</f>
        <v>534</v>
      </c>
      <c r="Q3" s="25" t="str">
        <f ca="1">IFERROR(__xludf.DUMMYFUNCTION("""COMPUTED_VALUE"""),"Jennifer Flannery-Hall")</f>
        <v>Jennifer Flannery-Hall</v>
      </c>
      <c r="R3" s="25" t="str">
        <f ca="1">IFERROR(__xludf.DUMMYFUNCTION("""COMPUTED_VALUE"""),"Motion's Legacy")</f>
        <v>Motion's Legacy</v>
      </c>
      <c r="S3" s="25" t="str">
        <f ca="1">IFERROR(__xludf.DUMMYFUNCTION("""COMPUTED_VALUE"""),"Jennifer Flannery-Hall")</f>
        <v>Jennifer Flannery-Hall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 t="str">
        <f ca="1">IFERROR(__xludf.DUMMYFUNCTION("""COMPUTED_VALUE"""),"522")</f>
        <v>522</v>
      </c>
      <c r="B4" s="25" t="str">
        <f ca="1">IFERROR(__xludf.DUMMYFUNCTION("""COMPUTED_VALUE"""),"Mary Kelley Tucker")</f>
        <v>Mary Kelley Tucker</v>
      </c>
      <c r="C4" s="25" t="str">
        <f ca="1">IFERROR(__xludf.DUMMYFUNCTION("""COMPUTED_VALUE"""),"WOF Glamour &amp; Style")</f>
        <v>WOF Glamour &amp; Style</v>
      </c>
      <c r="D4" s="25" t="str">
        <f ca="1">IFERROR(__xludf.DUMMYFUNCTION("""COMPUTED_VALUE"""),"Mary Keller Tucker")</f>
        <v>Mary Keller Tucker</v>
      </c>
      <c r="E4" s="25">
        <v>3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IFERROR(__xludf.DUMMYFUNCTION("""COMPUTED_VALUE"""),301)</f>
        <v>301</v>
      </c>
      <c r="Q4" s="25" t="str">
        <f ca="1">IFERROR(__xludf.DUMMYFUNCTION("""COMPUTED_VALUE"""),"Myranda Elliott")</f>
        <v>Myranda Elliott</v>
      </c>
      <c r="R4" s="25" t="str">
        <f ca="1">IFERROR(__xludf.DUMMYFUNCTION("""COMPUTED_VALUE"""),"CCF Unleashed")</f>
        <v>CCF Unleashed</v>
      </c>
      <c r="S4" s="25" t="str">
        <f ca="1">IFERROR(__xludf.DUMMYFUNCTION("""COMPUTED_VALUE"""),"Myranda Elliott")</f>
        <v>Myranda Elliott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 t="str">
        <f ca="1">IFERROR(__xludf.DUMMYFUNCTION("""COMPUTED_VALUE"""),"534")</f>
        <v>534</v>
      </c>
      <c r="B5" s="25" t="str">
        <f ca="1">IFERROR(__xludf.DUMMYFUNCTION("""COMPUTED_VALUE"""),"Jennifer Flannery-Hall")</f>
        <v>Jennifer Flannery-Hall</v>
      </c>
      <c r="C5" s="25" t="str">
        <f ca="1">IFERROR(__xludf.DUMMYFUNCTION("""COMPUTED_VALUE"""),"Motion's Legacy")</f>
        <v>Motion's Legacy</v>
      </c>
      <c r="D5" s="25" t="str">
        <f ca="1">IFERROR(__xludf.DUMMYFUNCTION("""COMPUTED_VALUE"""),"Jennifer Flannery-Hall")</f>
        <v>Jennifer Flannery-Hall</v>
      </c>
      <c r="E5" s="25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2 Name")</f>
        <v>Rider 2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3 Name")</f>
        <v>Rider 3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IFERROR(__xludf.DUMMYFUNCTION("""COMPUTED_VALUE"""),522)</f>
        <v>522</v>
      </c>
      <c r="Q7" s="25" t="str">
        <f ca="1">IFERROR(__xludf.DUMMYFUNCTION("""COMPUTED_VALUE"""),"Mary Kelley Tucker")</f>
        <v>Mary Kelley Tucker</v>
      </c>
      <c r="R7" s="25" t="str">
        <f ca="1">IFERROR(__xludf.DUMMYFUNCTION("""COMPUTED_VALUE"""),"WOF Glamour &amp; Style")</f>
        <v>WOF Glamour &amp; Style</v>
      </c>
      <c r="S7" s="25" t="str">
        <f ca="1">IFERROR(__xludf.DUMMYFUNCTION("""COMPUTED_VALUE"""),"Mary Keller Tucker")</f>
        <v>Mary Keller Tucker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4 Name")</f>
        <v>Rider 4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5 Name")</f>
        <v>Rider 5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 x14ac:dyDescent="0.2">
      <c r="A41" s="16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5.75" customHeight="1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outlinePr summaryBelow="0" summaryRight="0"/>
    <pageSetUpPr fitToPage="1"/>
  </sheetPr>
  <dimension ref="A1:Z40"/>
  <sheetViews>
    <sheetView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1.85546875" customWidth="1"/>
    <col min="4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27.95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200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P"")"),"189")</f>
        <v>189</v>
      </c>
      <c r="B2" s="25" t="str">
        <f ca="1">IFERROR(__xludf.DUMMYFUNCTION("""COMPUTED_VALUE"""),"Morgan Stumbo")</f>
        <v>Morgan Stumbo</v>
      </c>
      <c r="C2" s="25" t="str">
        <f ca="1">IFERROR(__xludf.DUMMYFUNCTION("""COMPUTED_VALUE"""),"TM's Rhythm is a Dancer")</f>
        <v>TM's Rhythm is a Dancer</v>
      </c>
      <c r="D2" s="25" t="str">
        <f ca="1">IFERROR(__xludf.DUMMYFUNCTION("""COMPUTED_VALUE"""),"Morgan Stumbo")</f>
        <v>Morgan Stumbo</v>
      </c>
      <c r="E2" s="25">
        <v>4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IFERROR(__xludf.DUMMYFUNCTION("""COMPUTED_VALUE"""),239)</f>
        <v>239</v>
      </c>
      <c r="Q2" s="25" t="str">
        <f ca="1">IFERROR(__xludf.DUMMYFUNCTION("""COMPUTED_VALUE"""),"Jacob Park")</f>
        <v>Jacob Park</v>
      </c>
      <c r="R2" s="25" t="str">
        <f ca="1">IFERROR(__xludf.DUMMYFUNCTION("""COMPUTED_VALUE"""),"GHS's Sundown")</f>
        <v>GHS's Sundown</v>
      </c>
      <c r="S2" s="25" t="str">
        <f ca="1">IFERROR(__xludf.DUMMYFUNCTION("""COMPUTED_VALUE"""),"Greathouse Stables")</f>
        <v>Greathouse Stables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IFERROR(__xludf.DUMMYFUNCTION("""COMPUTED_VALUE"""),"239")</f>
        <v>239</v>
      </c>
      <c r="B3" s="25" t="str">
        <f ca="1">IFERROR(__xludf.DUMMYFUNCTION("""COMPUTED_VALUE"""),"Jacob Park")</f>
        <v>Jacob Park</v>
      </c>
      <c r="C3" s="25" t="str">
        <f ca="1">IFERROR(__xludf.DUMMYFUNCTION("""COMPUTED_VALUE"""),"GHS's Sundown")</f>
        <v>GHS's Sundown</v>
      </c>
      <c r="D3" s="25" t="str">
        <f ca="1">IFERROR(__xludf.DUMMYFUNCTION("""COMPUTED_VALUE"""),"Greathouse Stables")</f>
        <v>Greathouse Stables</v>
      </c>
      <c r="E3" s="25">
        <v>3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IFERROR(__xludf.DUMMYFUNCTION("""COMPUTED_VALUE"""),385)</f>
        <v>385</v>
      </c>
      <c r="Q3" s="25" t="str">
        <f ca="1">IFERROR(__xludf.DUMMYFUNCTION("""COMPUTED_VALUE"""),"Monée Hollingsworth")</f>
        <v>Monée Hollingsworth</v>
      </c>
      <c r="R3" s="25" t="str">
        <f ca="1">IFERROR(__xludf.DUMMYFUNCTION("""COMPUTED_VALUE"""),"3BF Midnight Lane")</f>
        <v>3BF Midnight Lane</v>
      </c>
      <c r="S3" s="25" t="str">
        <f ca="1">IFERROR(__xludf.DUMMYFUNCTION("""COMPUTED_VALUE"""),"Ronn &amp; Beverly Pelfrey ")</f>
        <v xml:space="preserve">Ronn &amp; Beverly Pelfrey 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 t="str">
        <f ca="1">IFERROR(__xludf.DUMMYFUNCTION("""COMPUTED_VALUE"""),"385")</f>
        <v>385</v>
      </c>
      <c r="B4" s="25" t="str">
        <f ca="1">IFERROR(__xludf.DUMMYFUNCTION("""COMPUTED_VALUE"""),"Monée Hollingsworth")</f>
        <v>Monée Hollingsworth</v>
      </c>
      <c r="C4" s="25" t="str">
        <f ca="1">IFERROR(__xludf.DUMMYFUNCTION("""COMPUTED_VALUE"""),"3BF Midnight Lane")</f>
        <v>3BF Midnight Lane</v>
      </c>
      <c r="D4" s="25" t="str">
        <f ca="1">IFERROR(__xludf.DUMMYFUNCTION("""COMPUTED_VALUE"""),"Ronn &amp; Beverly Pelfrey ")</f>
        <v xml:space="preserve">Ronn &amp; Beverly Pelfrey </v>
      </c>
      <c r="E4" s="25">
        <v>1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IFERROR(__xludf.DUMMYFUNCTION("""COMPUTED_VALUE"""),189)</f>
        <v>189</v>
      </c>
      <c r="Q4" s="25" t="str">
        <f ca="1">IFERROR(__xludf.DUMMYFUNCTION("""COMPUTED_VALUE"""),"Morgan Stumbo")</f>
        <v>Morgan Stumbo</v>
      </c>
      <c r="R4" s="25" t="str">
        <f ca="1">IFERROR(__xludf.DUMMYFUNCTION("""COMPUTED_VALUE"""),"TM's Rhythm is a Dancer")</f>
        <v>TM's Rhythm is a Dancer</v>
      </c>
      <c r="S4" s="25" t="str">
        <f ca="1">IFERROR(__xludf.DUMMYFUNCTION("""COMPUTED_VALUE"""),"Morgan Stumbo")</f>
        <v>Morgan Stumbo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 t="str">
        <f ca="1">IFERROR(__xludf.DUMMYFUNCTION("""COMPUTED_VALUE"""),"709")</f>
        <v>709</v>
      </c>
      <c r="B5" s="25" t="str">
        <f ca="1">IFERROR(__xludf.DUMMYFUNCTION("""COMPUTED_VALUE"""),"Charlie DeAtley")</f>
        <v>Charlie DeAtley</v>
      </c>
      <c r="C5" s="25" t="str">
        <f ca="1">IFERROR(__xludf.DUMMYFUNCTION("""COMPUTED_VALUE"""),"After Hours")</f>
        <v>After Hours</v>
      </c>
      <c r="D5" s="25" t="str">
        <f ca="1">IFERROR(__xludf.DUMMYFUNCTION("""COMPUTED_VALUE"""),"Julie Brown ")</f>
        <v xml:space="preserve">Julie Brown </v>
      </c>
      <c r="E5" s="25">
        <v>2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IFERROR(__xludf.DUMMYFUNCTION("""COMPUTED_VALUE"""),709)</f>
        <v>709</v>
      </c>
      <c r="Q5" s="25" t="str">
        <f ca="1">IFERROR(__xludf.DUMMYFUNCTION("""COMPUTED_VALUE"""),"Charlie DeAtley")</f>
        <v>Charlie DeAtley</v>
      </c>
      <c r="R5" s="25" t="str">
        <f ca="1">IFERROR(__xludf.DUMMYFUNCTION("""COMPUTED_VALUE"""),"After Hours")</f>
        <v>After Hours</v>
      </c>
      <c r="S5" s="25" t="str">
        <f ca="1">IFERROR(__xludf.DUMMYFUNCTION("""COMPUTED_VALUE"""),"Julie Brown ")</f>
        <v xml:space="preserve">Julie Brown 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2 Name")</f>
        <v>Rider 2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3 Name")</f>
        <v>Rider 3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5 Name")</f>
        <v>Rider 5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6 Name")</f>
        <v>Rider 6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outlinePr summaryBelow="0" summaryRight="0"/>
    <pageSetUpPr fitToPage="1"/>
  </sheetPr>
  <dimension ref="A1:Z40"/>
  <sheetViews>
    <sheetView workbookViewId="0">
      <selection activeCell="N2" sqref="N2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7.5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201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P"")"),"#N/A")</f>
        <v>#N/A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 t="str">
        <f ca="1">IFERROR(__xludf.DUMMYFUNCTION("""COMPUTED_VALUE"""),"Back Number")</f>
        <v>Back Number</v>
      </c>
      <c r="Q2" s="25" t="str">
        <f ca="1">IFERROR(__xludf.DUMMYFUNCTION("""COMPUTED_VALUE"""),"Rider 2 Name")</f>
        <v>Rider 2 Name</v>
      </c>
      <c r="R2" s="25" t="str">
        <f ca="1">IFERROR(__xludf.DUMMYFUNCTION("""COMPUTED_VALUE"""),"Horse Name")</f>
        <v>Horse Name</v>
      </c>
      <c r="S2" s="25" t="str">
        <f ca="1">IFERROR(__xludf.DUMMYFUNCTION("""COMPUTED_VALUE"""),"Owner")</f>
        <v>Owner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IFERROR(__xludf.DUMMYFUNCTION("""COMPUTED_VALUE"""),"Rider 3 Name")</f>
        <v>Rider 3 Name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4 Name")</f>
        <v>Rider 4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6 Name")</f>
        <v>Rider 6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>
        <v>0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outlinePr summaryBelow="0" summaryRight="0"/>
    <pageSetUpPr fitToPage="1"/>
  </sheetPr>
  <dimension ref="A1:Z998"/>
  <sheetViews>
    <sheetView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28.7109375" customWidth="1"/>
    <col min="4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3.6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52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IFERROR(__xludf.DUMMYFUNCTION("QUERY(P2:S999,""SELECT * WHERE R IS NOT NULL AND R !='Horse Name' Order By P"")"),116)</f>
        <v>116</v>
      </c>
      <c r="B2" s="25" t="str">
        <f ca="1">IFERROR(__xludf.DUMMYFUNCTION("""COMPUTED_VALUE"""),"Ruby DeAtley")</f>
        <v>Ruby DeAtley</v>
      </c>
      <c r="C2" s="25" t="str">
        <f ca="1">IFERROR(__xludf.DUMMYFUNCTION("""COMPUTED_VALUE"""),"B &amp; T's Slamma Jamma")</f>
        <v>B &amp; T's Slamma Jamma</v>
      </c>
      <c r="D2" s="25" t="str">
        <f ca="1">IFERROR(__xludf.DUMMYFUNCTION("""COMPUTED_VALUE"""),"Brenda Watson")</f>
        <v>Brenda Watson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IFERROR(__xludf.DUMMYFUNCTION("""COMPUTED_VALUE"""),119)</f>
        <v>119</v>
      </c>
      <c r="Q2" s="25" t="str">
        <f ca="1">IFERROR(__xludf.DUMMYFUNCTION("""COMPUTED_VALUE"""),"Tyler Kilburn")</f>
        <v>Tyler Kilburn</v>
      </c>
      <c r="R2" s="25" t="str">
        <f ca="1">IFERROR(__xludf.DUMMYFUNCTION("""COMPUTED_VALUE"""),"Kilburns Holy Nightmare")</f>
        <v>Kilburns Holy Nightmare</v>
      </c>
      <c r="S2" s="25" t="str">
        <f ca="1">IFERROR(__xludf.DUMMYFUNCTION("""COMPUTED_VALUE"""),"Paul Kilburn")</f>
        <v>Paul Kilburn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IFERROR(__xludf.DUMMYFUNCTION("""COMPUTED_VALUE"""),119)</f>
        <v>119</v>
      </c>
      <c r="B3" s="25" t="str">
        <f ca="1">IFERROR(__xludf.DUMMYFUNCTION("""COMPUTED_VALUE"""),"Tyler Kilburn")</f>
        <v>Tyler Kilburn</v>
      </c>
      <c r="C3" s="25" t="str">
        <f ca="1">IFERROR(__xludf.DUMMYFUNCTION("""COMPUTED_VALUE"""),"Kilburns Holy Nightmare")</f>
        <v>Kilburns Holy Nightmare</v>
      </c>
      <c r="D3" s="25" t="str">
        <f ca="1">IFERROR(__xludf.DUMMYFUNCTION("""COMPUTED_VALUE"""),"Paul Kilburn")</f>
        <v>Paul Kilburn</v>
      </c>
      <c r="E3" s="25">
        <v>6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IFERROR(__xludf.DUMMYFUNCTION("""COMPUTED_VALUE"""),678)</f>
        <v>678</v>
      </c>
      <c r="Q3" s="25" t="str">
        <f ca="1">IFERROR(__xludf.DUMMYFUNCTION("""COMPUTED_VALUE"""),"Karter Alexander")</f>
        <v>Karter Alexander</v>
      </c>
      <c r="R3" s="25" t="str">
        <f ca="1">IFERROR(__xludf.DUMMYFUNCTION("""COMPUTED_VALUE"""),"Clutch’s Rayven Mellody ")</f>
        <v xml:space="preserve">Clutch’s Rayven Mellody </v>
      </c>
      <c r="S3" s="25" t="str">
        <f ca="1">IFERROR(__xludf.DUMMYFUNCTION("""COMPUTED_VALUE"""),"Melissa Alexander")</f>
        <v>Melissa Alexander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IFERROR(__xludf.DUMMYFUNCTION("""COMPUTED_VALUE"""),124)</f>
        <v>124</v>
      </c>
      <c r="B4" s="25" t="str">
        <f ca="1">IFERROR(__xludf.DUMMYFUNCTION("""COMPUTED_VALUE"""),"Talon Fox")</f>
        <v>Talon Fox</v>
      </c>
      <c r="C4" s="25" t="str">
        <f ca="1">IFERROR(__xludf.DUMMYFUNCTION("""COMPUTED_VALUE"""),"RRF's Fashionista")</f>
        <v>RRF's Fashionista</v>
      </c>
      <c r="D4" s="25" t="str">
        <f ca="1">IFERROR(__xludf.DUMMYFUNCTION("""COMPUTED_VALUE"""),"Craig Tyler Moore")</f>
        <v>Craig Tyler Moore</v>
      </c>
      <c r="E4" s="25">
        <v>5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IFERROR(__xludf.DUMMYFUNCTION("""COMPUTED_VALUE"""),995)</f>
        <v>995</v>
      </c>
      <c r="Q4" s="25" t="str">
        <f ca="1">IFERROR(__xludf.DUMMYFUNCTION("""COMPUTED_VALUE"""),"Chase Gordon ")</f>
        <v xml:space="preserve">Chase Gordon </v>
      </c>
      <c r="R4" s="25" t="str">
        <f ca="1">IFERROR(__xludf.DUMMYFUNCTION("""COMPUTED_VALUE"""),"FVF’S Queen of Hearts ")</f>
        <v xml:space="preserve">FVF’S Queen of Hearts </v>
      </c>
      <c r="S4" s="25" t="str">
        <f ca="1">IFERROR(__xludf.DUMMYFUNCTION("""COMPUTED_VALUE"""),"Mark Gordon ")</f>
        <v xml:space="preserve">Mark Gordon 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IFERROR(__xludf.DUMMYFUNCTION("""COMPUTED_VALUE"""),522)</f>
        <v>522</v>
      </c>
      <c r="B5" s="25" t="str">
        <f ca="1">IFERROR(__xludf.DUMMYFUNCTION("""COMPUTED_VALUE"""),"Olivia Warner")</f>
        <v>Olivia Warner</v>
      </c>
      <c r="C5" s="25" t="str">
        <f ca="1">IFERROR(__xludf.DUMMYFUNCTION("""COMPUTED_VALUE"""),"WOF Glamour &amp; Style")</f>
        <v>WOF Glamour &amp; Style</v>
      </c>
      <c r="D5" s="25" t="str">
        <f ca="1">IFERROR(__xludf.DUMMYFUNCTION("""COMPUTED_VALUE"""),"Mary Keller Tucker")</f>
        <v>Mary Keller Tucker</v>
      </c>
      <c r="E5" s="25">
        <v>3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2 Name")</f>
        <v>Rider 2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IFERROR(__xludf.DUMMYFUNCTION("""COMPUTED_VALUE"""),645)</f>
        <v>645</v>
      </c>
      <c r="B6" s="25" t="str">
        <f ca="1">IFERROR(__xludf.DUMMYFUNCTION("""COMPUTED_VALUE"""),"Justin Stefanic ")</f>
        <v xml:space="preserve">Justin Stefanic </v>
      </c>
      <c r="C6" s="25" t="str">
        <f ca="1">IFERROR(__xludf.DUMMYFUNCTION("""COMPUTED_VALUE"""),"GWF Sugar N Spice")</f>
        <v>GWF Sugar N Spice</v>
      </c>
      <c r="D6" s="25" t="str">
        <f ca="1">IFERROR(__xludf.DUMMYFUNCTION("""COMPUTED_VALUE"""),"Jeff &amp; Mary AnnMars")</f>
        <v>Jeff &amp; Mary AnnMars</v>
      </c>
      <c r="E6" s="25">
        <v>4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IFERROR(__xludf.DUMMYFUNCTION("""COMPUTED_VALUE"""),913)</f>
        <v>913</v>
      </c>
      <c r="Q6" s="25" t="str">
        <f ca="1">IFERROR(__xludf.DUMMYFUNCTION("""COMPUTED_VALUE"""),"Olivia Hall")</f>
        <v>Olivia Hall</v>
      </c>
      <c r="R6" s="25" t="str">
        <f ca="1">IFERROR(__xludf.DUMMYFUNCTION("""COMPUTED_VALUE"""),"Obviously an Heiress")</f>
        <v>Obviously an Heiress</v>
      </c>
      <c r="S6" s="25" t="str">
        <f ca="1">IFERROR(__xludf.DUMMYFUNCTION("""COMPUTED_VALUE"""),"Jennifer Flannery-Hall")</f>
        <v>Jennifer Flannery-Hall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IFERROR(__xludf.DUMMYFUNCTION("""COMPUTED_VALUE"""),678)</f>
        <v>678</v>
      </c>
      <c r="B7" s="25" t="str">
        <f ca="1">IFERROR(__xludf.DUMMYFUNCTION("""COMPUTED_VALUE"""),"Karter Alexander")</f>
        <v>Karter Alexander</v>
      </c>
      <c r="C7" s="25" t="str">
        <f ca="1">IFERROR(__xludf.DUMMYFUNCTION("""COMPUTED_VALUE"""),"Clutch’s Rayven Mellody ")</f>
        <v xml:space="preserve">Clutch’s Rayven Mellody </v>
      </c>
      <c r="D7" s="25" t="str">
        <f ca="1">IFERROR(__xludf.DUMMYFUNCTION("""COMPUTED_VALUE"""),"Melissa Alexander")</f>
        <v>Melissa Alexander</v>
      </c>
      <c r="E7" s="25">
        <v>7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IFERROR(__xludf.DUMMYFUNCTION("""COMPUTED_VALUE"""),124)</f>
        <v>124</v>
      </c>
      <c r="Q7" s="25" t="str">
        <f ca="1">IFERROR(__xludf.DUMMYFUNCTION("""COMPUTED_VALUE"""),"Talon Fox")</f>
        <v>Talon Fox</v>
      </c>
      <c r="R7" s="25" t="str">
        <f ca="1">IFERROR(__xludf.DUMMYFUNCTION("""COMPUTED_VALUE"""),"RRF's Fashionista")</f>
        <v>RRF's Fashionista</v>
      </c>
      <c r="S7" s="25" t="str">
        <f ca="1">IFERROR(__xludf.DUMMYFUNCTION("""COMPUTED_VALUE"""),"Craig Tyler Moore")</f>
        <v>Craig Tyler Moore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>
        <f ca="1">IFERROR(__xludf.DUMMYFUNCTION("""COMPUTED_VALUE"""),913)</f>
        <v>913</v>
      </c>
      <c r="B8" s="25" t="str">
        <f ca="1">IFERROR(__xludf.DUMMYFUNCTION("""COMPUTED_VALUE"""),"Olivia Hall")</f>
        <v>Olivia Hall</v>
      </c>
      <c r="C8" s="25" t="str">
        <f ca="1">IFERROR(__xludf.DUMMYFUNCTION("""COMPUTED_VALUE"""),"Obviously an Heiress")</f>
        <v>Obviously an Heiress</v>
      </c>
      <c r="D8" s="25" t="str">
        <f ca="1">IFERROR(__xludf.DUMMYFUNCTION("""COMPUTED_VALUE"""),"Jennifer Flannery-Hall")</f>
        <v>Jennifer Flannery-Hall</v>
      </c>
      <c r="E8" s="25">
        <v>8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IFERROR(__xludf.DUMMYFUNCTION("""COMPUTED_VALUE"""),645)</f>
        <v>645</v>
      </c>
      <c r="Q8" s="25" t="str">
        <f ca="1">IFERROR(__xludf.DUMMYFUNCTION("""COMPUTED_VALUE"""),"Justin Stefanic ")</f>
        <v xml:space="preserve">Justin Stefanic </v>
      </c>
      <c r="R8" s="25" t="str">
        <f ca="1">IFERROR(__xludf.DUMMYFUNCTION("""COMPUTED_VALUE"""),"GWF Sugar N Spice")</f>
        <v>GWF Sugar N Spice</v>
      </c>
      <c r="S8" s="25" t="str">
        <f ca="1">IFERROR(__xludf.DUMMYFUNCTION("""COMPUTED_VALUE"""),"Jeff &amp; Mary AnnMars")</f>
        <v>Jeff &amp; Mary AnnMars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>
        <f ca="1">IFERROR(__xludf.DUMMYFUNCTION("""COMPUTED_VALUE"""),995)</f>
        <v>995</v>
      </c>
      <c r="B9" s="25" t="str">
        <f ca="1">IFERROR(__xludf.DUMMYFUNCTION("""COMPUTED_VALUE"""),"Chase Gordon ")</f>
        <v xml:space="preserve">Chase Gordon </v>
      </c>
      <c r="C9" s="25" t="str">
        <f ca="1">IFERROR(__xludf.DUMMYFUNCTION("""COMPUTED_VALUE"""),"FVF’S Queen of Hearts ")</f>
        <v xml:space="preserve">FVF’S Queen of Hearts </v>
      </c>
      <c r="D9" s="25" t="str">
        <f ca="1">IFERROR(__xludf.DUMMYFUNCTION("""COMPUTED_VALUE"""),"Mark Gordon ")</f>
        <v xml:space="preserve">Mark Gordon </v>
      </c>
      <c r="E9" s="25">
        <v>2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IFERROR(__xludf.DUMMYFUNCTION("""COMPUTED_VALUE"""),522)</f>
        <v>522</v>
      </c>
      <c r="Q9" s="25" t="str">
        <f ca="1">IFERROR(__xludf.DUMMYFUNCTION("""COMPUTED_VALUE"""),"Olivia Warner")</f>
        <v>Olivia Warner</v>
      </c>
      <c r="R9" s="25" t="str">
        <f ca="1">IFERROR(__xludf.DUMMYFUNCTION("""COMPUTED_VALUE"""),"WOF Glamour &amp; Style")</f>
        <v>WOF Glamour &amp; Style</v>
      </c>
      <c r="S9" s="25" t="str">
        <f ca="1">IFERROR(__xludf.DUMMYFUNCTION("""COMPUTED_VALUE"""),"Mary Keller Tucker")</f>
        <v>Mary Keller Tucker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>
        <f ca="1">IFERROR(__xludf.DUMMYFUNCTION("""COMPUTED_VALUE"""),116)</f>
        <v>116</v>
      </c>
      <c r="Q10" s="25" t="str">
        <f ca="1">IFERROR(__xludf.DUMMYFUNCTION("""COMPUTED_VALUE"""),"Ruby DeAtley")</f>
        <v>Ruby DeAtley</v>
      </c>
      <c r="R10" s="25" t="str">
        <f ca="1">IFERROR(__xludf.DUMMYFUNCTION("""COMPUTED_VALUE"""),"B &amp; T's Slamma Jamma")</f>
        <v>B &amp; T's Slamma Jamma</v>
      </c>
      <c r="S10" s="25" t="str">
        <f ca="1">IFERROR(__xludf.DUMMYFUNCTION("""COMPUTED_VALUE"""),"Brenda Watson")</f>
        <v>Brenda Watson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3 Name")</f>
        <v>Rider 3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5 Name")</f>
        <v>Rider 5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 t="str">
        <f ca="1">IFERROR(__xludf.DUMMYFUNCTION("""COMPUTED_VALUE"""),"Back Number")</f>
        <v>Back Number</v>
      </c>
      <c r="Q13" s="25" t="str">
        <f ca="1">IFERROR(__xludf.DUMMYFUNCTION("""COMPUTED_VALUE"""),"Rider 6 Name")</f>
        <v>Rider 6 Name</v>
      </c>
      <c r="R13" s="25" t="str">
        <f ca="1">IFERROR(__xludf.DUMMYFUNCTION("""COMPUTED_VALUE"""),"Horse Name")</f>
        <v>Horse Name</v>
      </c>
      <c r="S13" s="25" t="str">
        <f ca="1">IFERROR(__xludf.DUMMYFUNCTION("""COMPUTED_VALUE"""),"Owner")</f>
        <v>Owner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 x14ac:dyDescent="0.2">
      <c r="A41" s="16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5.75" customHeight="1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outlinePr summaryBelow="0" summaryRight="0"/>
    <pageSetUpPr fitToPage="1"/>
  </sheetPr>
  <dimension ref="A1:Z40"/>
  <sheetViews>
    <sheetView topLeftCell="B1"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7.42578125" customWidth="1"/>
    <col min="4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6.950000000000003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59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P"")"),"252")</f>
        <v>252</v>
      </c>
      <c r="B2" s="25" t="str">
        <f ca="1">IFERROR(__xludf.DUMMYFUNCTION("""COMPUTED_VALUE"""),"Mike Lane")</f>
        <v>Mike Lane</v>
      </c>
      <c r="C2" s="25" t="str">
        <f ca="1">IFERROR(__xludf.DUMMYFUNCTION("""COMPUTED_VALUE"""),"Music Diva LeFay")</f>
        <v>Music Diva LeFay</v>
      </c>
      <c r="D2" s="25" t="str">
        <f ca="1">IFERROR(__xludf.DUMMYFUNCTION("""COMPUTED_VALUE"""),"Keith Pugh")</f>
        <v>Keith Pugh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IFERROR(__xludf.DUMMYFUNCTION("""COMPUTED_VALUE"""),252)</f>
        <v>252</v>
      </c>
      <c r="Q2" s="25" t="str">
        <f ca="1">IFERROR(__xludf.DUMMYFUNCTION("""COMPUTED_VALUE"""),"Mike Lane")</f>
        <v>Mike Lane</v>
      </c>
      <c r="R2" s="25" t="str">
        <f ca="1">IFERROR(__xludf.DUMMYFUNCTION("""COMPUTED_VALUE"""),"Music Diva LeFay")</f>
        <v>Music Diva LeFay</v>
      </c>
      <c r="S2" s="25" t="str">
        <f ca="1">IFERROR(__xludf.DUMMYFUNCTION("""COMPUTED_VALUE"""),"Keith Pugh")</f>
        <v>Keith Pugh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IFERROR(__xludf.DUMMYFUNCTION("""COMPUTED_VALUE"""),"72")</f>
        <v>72</v>
      </c>
      <c r="B3" s="25" t="str">
        <f ca="1">IFERROR(__xludf.DUMMYFUNCTION("""COMPUTED_VALUE"""),"Becki Brown")</f>
        <v>Becki Brown</v>
      </c>
      <c r="C3" s="25" t="str">
        <f ca="1">IFERROR(__xludf.DUMMYFUNCTION("""COMPUTED_VALUE"""),"Rocky Creek's Gentleman Jack")</f>
        <v>Rocky Creek's Gentleman Jack</v>
      </c>
      <c r="D3" s="25" t="s">
        <v>65</v>
      </c>
      <c r="E3" s="25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IFERROR(__xludf.DUMMYFUNCTION("""COMPUTED_VALUE"""),"Rider 2 Name")</f>
        <v>Rider 2 Name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IFERROR(__xludf.DUMMYFUNCTION("""COMPUTED_VALUE"""),72)</f>
        <v>72</v>
      </c>
      <c r="Q4" s="25" t="str">
        <f ca="1">IFERROR(__xludf.DUMMYFUNCTION("""COMPUTED_VALUE"""),"Becki Brown")</f>
        <v>Becki Brown</v>
      </c>
      <c r="R4" s="25" t="str">
        <f ca="1">IFERROR(__xludf.DUMMYFUNCTION("""COMPUTED_VALUE"""),"Rocky Creek's Gentleman Jack")</f>
        <v>Rocky Creek's Gentleman Jack</v>
      </c>
      <c r="S4" s="25" t="str">
        <f ca="1">IFERROR(__xludf.DUMMYFUNCTION("""COMPUTED_VALUE"""),"Beci Brown")</f>
        <v>Beci Brown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3 Name")</f>
        <v>Rider 3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5 Name")</f>
        <v>Rider 5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6 Name")</f>
        <v>Rider 6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outlinePr summaryBelow="0" summaryRight="0"/>
    <pageSetUpPr fitToPage="1"/>
  </sheetPr>
  <dimension ref="A1:Z998"/>
  <sheetViews>
    <sheetView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1.42578125" customWidth="1"/>
    <col min="4" max="4" width="27.5703125" customWidth="1"/>
    <col min="5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0.6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37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IFERROR(__xludf.DUMMYFUNCTION("QUERY(P2:S999,""SELECT * WHERE R IS NOT NULL AND R !='Horse Name' Order By P"")"),152)</f>
        <v>152</v>
      </c>
      <c r="B2" s="25" t="str">
        <f ca="1">IFERROR(__xludf.DUMMYFUNCTION("""COMPUTED_VALUE"""),"Julie Brown")</f>
        <v>Julie Brown</v>
      </c>
      <c r="C2" s="25" t="str">
        <f ca="1">IFERROR(__xludf.DUMMYFUNCTION("""COMPUTED_VALUE"""),"HCR's After Midnight")</f>
        <v>HCR's After Midnight</v>
      </c>
      <c r="D2" s="25" t="str">
        <f ca="1">IFERROR(__xludf.DUMMYFUNCTION("""COMPUTED_VALUE"""),"Julie Brown")</f>
        <v>Julie Brown</v>
      </c>
      <c r="E2" s="25">
        <v>10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IFERROR(__xludf.DUMMYFUNCTION("""COMPUTED_VALUE"""),152)</f>
        <v>152</v>
      </c>
      <c r="Q2" s="25" t="str">
        <f ca="1">IFERROR(__xludf.DUMMYFUNCTION("""COMPUTED_VALUE"""),"Julie Brown")</f>
        <v>Julie Brown</v>
      </c>
      <c r="R2" s="25" t="str">
        <f ca="1">IFERROR(__xludf.DUMMYFUNCTION("""COMPUTED_VALUE"""),"HCR's After Midnight")</f>
        <v>HCR's After Midnight</v>
      </c>
      <c r="S2" s="25" t="str">
        <f ca="1">IFERROR(__xludf.DUMMYFUNCTION("""COMPUTED_VALUE"""),"Julie Brown")</f>
        <v>Julie Brown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IFERROR(__xludf.DUMMYFUNCTION("""COMPUTED_VALUE"""),183)</f>
        <v>183</v>
      </c>
      <c r="B3" s="25" t="str">
        <f ca="1">IFERROR(__xludf.DUMMYFUNCTION("""COMPUTED_VALUE"""),"Ragan Adkins")</f>
        <v>Ragan Adkins</v>
      </c>
      <c r="C3" s="25" t="str">
        <f ca="1">IFERROR(__xludf.DUMMYFUNCTION("""COMPUTED_VALUE"""),"DHS's Mr. Bohannon")</f>
        <v>DHS's Mr. Bohannon</v>
      </c>
      <c r="D3" s="25" t="str">
        <f ca="1">IFERROR(__xludf.DUMMYFUNCTION("""COMPUTED_VALUE"""),"Chastity Adkins")</f>
        <v>Chastity Adkins</v>
      </c>
      <c r="E3" s="25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IFERROR(__xludf.DUMMYFUNCTION("""COMPUTED_VALUE"""),949)</f>
        <v>949</v>
      </c>
      <c r="Q3" s="25" t="str">
        <f ca="1">IFERROR(__xludf.DUMMYFUNCTION("""COMPUTED_VALUE"""),"Jonathan Ramey")</f>
        <v>Jonathan Ramey</v>
      </c>
      <c r="R3" s="25" t="str">
        <f ca="1">IFERROR(__xludf.DUMMYFUNCTION("""COMPUTED_VALUE"""),"The Fresh Prince")</f>
        <v>The Fresh Prince</v>
      </c>
      <c r="S3" s="25" t="str">
        <f ca="1">IFERROR(__xludf.DUMMYFUNCTION("""COMPUTED_VALUE"""),"Jonathan Ramey")</f>
        <v>Jonathan Ramey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IFERROR(__xludf.DUMMYFUNCTION("""COMPUTED_VALUE"""),432)</f>
        <v>432</v>
      </c>
      <c r="B4" s="25" t="str">
        <f ca="1">IFERROR(__xludf.DUMMYFUNCTION("""COMPUTED_VALUE"""),"Donna Spencer Lane")</f>
        <v>Donna Spencer Lane</v>
      </c>
      <c r="C4" s="25" t="str">
        <f ca="1">IFERROR(__xludf.DUMMYFUNCTION("""COMPUTED_VALUE"""),"Dreamcatcher's Miss Tobias")</f>
        <v>Dreamcatcher's Miss Tobias</v>
      </c>
      <c r="D4" s="25" t="str">
        <f ca="1">IFERROR(__xludf.DUMMYFUNCTION("""COMPUTED_VALUE"""),"Donna Spencer Lane")</f>
        <v>Donna Spencer Lane</v>
      </c>
      <c r="E4" s="25">
        <v>4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IFERROR(__xludf.DUMMYFUNCTION("""COMPUTED_VALUE"""),486)</f>
        <v>486</v>
      </c>
      <c r="Q4" s="25" t="str">
        <f ca="1">IFERROR(__xludf.DUMMYFUNCTION("""COMPUTED_VALUE"""),"Baylee Fowler")</f>
        <v>Baylee Fowler</v>
      </c>
      <c r="R4" s="25" t="str">
        <f ca="1">IFERROR(__xludf.DUMMYFUNCTION("""COMPUTED_VALUE"""),"GHS's Breaking Vegas")</f>
        <v>GHS's Breaking Vegas</v>
      </c>
      <c r="S4" s="25" t="str">
        <f ca="1">IFERROR(__xludf.DUMMYFUNCTION("""COMPUTED_VALUE"""),"Baylee Fowler")</f>
        <v>Baylee Fowler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IFERROR(__xludf.DUMMYFUNCTION("""COMPUTED_VALUE"""),486)</f>
        <v>486</v>
      </c>
      <c r="B5" s="25" t="str">
        <f ca="1">IFERROR(__xludf.DUMMYFUNCTION("""COMPUTED_VALUE"""),"Baylee Fowler")</f>
        <v>Baylee Fowler</v>
      </c>
      <c r="C5" s="25" t="str">
        <f ca="1">IFERROR(__xludf.DUMMYFUNCTION("""COMPUTED_VALUE"""),"GHS's Breaking Vegas")</f>
        <v>GHS's Breaking Vegas</v>
      </c>
      <c r="D5" s="25" t="str">
        <f ca="1">IFERROR(__xludf.DUMMYFUNCTION("""COMPUTED_VALUE"""),"Baylee Fowler")</f>
        <v>Baylee Fowler</v>
      </c>
      <c r="E5" s="25">
        <v>8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IFERROR(__xludf.DUMMYFUNCTION("""COMPUTED_VALUE"""),700)</f>
        <v>700</v>
      </c>
      <c r="Q5" s="25" t="str">
        <f ca="1">IFERROR(__xludf.DUMMYFUNCTION("""COMPUTED_VALUE"""),"Melisse Sharkey")</f>
        <v>Melisse Sharkey</v>
      </c>
      <c r="R5" s="25" t="str">
        <f ca="1">IFERROR(__xludf.DUMMYFUNCTION("""COMPUTED_VALUE"""),"DHS's Diamond Broker")</f>
        <v>DHS's Diamond Broker</v>
      </c>
      <c r="S5" s="25" t="str">
        <f ca="1">IFERROR(__xludf.DUMMYFUNCTION("""COMPUTED_VALUE"""),"Melisse Sharkey")</f>
        <v>Melisse Sharkey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IFERROR(__xludf.DUMMYFUNCTION("""COMPUTED_VALUE"""),487)</f>
        <v>487</v>
      </c>
      <c r="B6" s="25" t="str">
        <f ca="1">IFERROR(__xludf.DUMMYFUNCTION("""COMPUTED_VALUE"""),"Myranda Elliott")</f>
        <v>Myranda Elliott</v>
      </c>
      <c r="C6" s="25" t="str">
        <f ca="1">IFERROR(__xludf.DUMMYFUNCTION("""COMPUTED_VALUE"""),"Something Wicked")</f>
        <v>Something Wicked</v>
      </c>
      <c r="D6" s="25" t="str">
        <f ca="1">IFERROR(__xludf.DUMMYFUNCTION("""COMPUTED_VALUE"""),"Myranda Elliott")</f>
        <v>Myranda Elliott</v>
      </c>
      <c r="E6" s="25">
        <v>9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IFERROR(__xludf.DUMMYFUNCTION("""COMPUTED_VALUE"""),646)</f>
        <v>646</v>
      </c>
      <c r="Q6" s="25" t="str">
        <f ca="1">IFERROR(__xludf.DUMMYFUNCTION("""COMPUTED_VALUE"""),"Chad Weaver")</f>
        <v>Chad Weaver</v>
      </c>
      <c r="R6" s="25" t="str">
        <f ca="1">IFERROR(__xludf.DUMMYFUNCTION("""COMPUTED_VALUE"""),"Arion")</f>
        <v>Arion</v>
      </c>
      <c r="S6" s="25" t="str">
        <f ca="1">IFERROR(__xludf.DUMMYFUNCTION("""COMPUTED_VALUE"""),"Chris Smith")</f>
        <v>Chris Smith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IFERROR(__xludf.DUMMYFUNCTION("""COMPUTED_VALUE"""),532.1)</f>
        <v>532.1</v>
      </c>
      <c r="B7" s="25" t="str">
        <f ca="1">IFERROR(__xludf.DUMMYFUNCTION("""COMPUTED_VALUE"""),"Ashleigh Johnson")</f>
        <v>Ashleigh Johnson</v>
      </c>
      <c r="C7" s="25" t="str">
        <f ca="1">IFERROR(__xludf.DUMMYFUNCTION("""COMPUTED_VALUE"""),"A Tiajuana Night")</f>
        <v>A Tiajuana Night</v>
      </c>
      <c r="D7" s="25" t="str">
        <f ca="1">IFERROR(__xludf.DUMMYFUNCTION("""COMPUTED_VALUE"""),"Ashleigh Johnson")</f>
        <v>Ashleigh Johnson</v>
      </c>
      <c r="E7" s="25">
        <v>7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IFERROR(__xludf.DUMMYFUNCTION("""COMPUTED_VALUE"""),487)</f>
        <v>487</v>
      </c>
      <c r="Q7" s="25" t="str">
        <f ca="1">IFERROR(__xludf.DUMMYFUNCTION("""COMPUTED_VALUE"""),"Myranda Elliott")</f>
        <v>Myranda Elliott</v>
      </c>
      <c r="R7" s="25" t="str">
        <f ca="1">IFERROR(__xludf.DUMMYFUNCTION("""COMPUTED_VALUE"""),"Something Wicked")</f>
        <v>Something Wicked</v>
      </c>
      <c r="S7" s="25" t="str">
        <f ca="1">IFERROR(__xludf.DUMMYFUNCTION("""COMPUTED_VALUE"""),"Myranda Elliott")</f>
        <v>Myranda Elliott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>
        <f ca="1">IFERROR(__xludf.DUMMYFUNCTION("""COMPUTED_VALUE"""),591)</f>
        <v>591</v>
      </c>
      <c r="B8" s="25" t="str">
        <f ca="1">IFERROR(__xludf.DUMMYFUNCTION("""COMPUTED_VALUE"""),"Jennifer Flannery-Hall")</f>
        <v>Jennifer Flannery-Hall</v>
      </c>
      <c r="C8" s="25" t="str">
        <f ca="1">IFERROR(__xludf.DUMMYFUNCTION("""COMPUTED_VALUE"""),"RRF Center Stage")</f>
        <v>RRF Center Stage</v>
      </c>
      <c r="D8" s="25" t="str">
        <f ca="1">IFERROR(__xludf.DUMMYFUNCTION("""COMPUTED_VALUE"""),"Jennifer Flannery-Hall")</f>
        <v>Jennifer Flannery-Hall</v>
      </c>
      <c r="E8" s="25">
        <v>5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IFERROR(__xludf.DUMMYFUNCTION("""COMPUTED_VALUE"""),604)</f>
        <v>604</v>
      </c>
      <c r="Q8" s="25" t="str">
        <f ca="1">IFERROR(__xludf.DUMMYFUNCTION("""COMPUTED_VALUE"""),"Ashley Hanson")</f>
        <v>Ashley Hanson</v>
      </c>
      <c r="R8" s="25" t="str">
        <f ca="1">IFERROR(__xludf.DUMMYFUNCTION("""COMPUTED_VALUE"""),"Robinsons Turbo")</f>
        <v>Robinsons Turbo</v>
      </c>
      <c r="S8" s="25" t="str">
        <f ca="1">IFERROR(__xludf.DUMMYFUNCTION("""COMPUTED_VALUE"""),"Ashley Hanson")</f>
        <v>Ashley Hanson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>
        <f ca="1">IFERROR(__xludf.DUMMYFUNCTION("""COMPUTED_VALUE"""),604)</f>
        <v>604</v>
      </c>
      <c r="B9" s="25" t="s">
        <v>158</v>
      </c>
      <c r="C9" s="25" t="str">
        <f ca="1">IFERROR(__xludf.DUMMYFUNCTION("""COMPUTED_VALUE"""),"Robinsons Turbo")</f>
        <v>Robinsons Turbo</v>
      </c>
      <c r="D9" s="25" t="s">
        <v>158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IFERROR(__xludf.DUMMYFUNCTION("""COMPUTED_VALUE"""),183)</f>
        <v>183</v>
      </c>
      <c r="Q9" s="25" t="str">
        <f ca="1">IFERROR(__xludf.DUMMYFUNCTION("""COMPUTED_VALUE"""),"Ragan Adkins")</f>
        <v>Ragan Adkins</v>
      </c>
      <c r="R9" s="25" t="str">
        <f ca="1">IFERROR(__xludf.DUMMYFUNCTION("""COMPUTED_VALUE"""),"DHS's Mr. Bohannon")</f>
        <v>DHS's Mr. Bohannon</v>
      </c>
      <c r="S9" s="25" t="str">
        <f ca="1">IFERROR(__xludf.DUMMYFUNCTION("""COMPUTED_VALUE"""),"Chastity Adkins")</f>
        <v>Chastity Adkins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>
        <f ca="1">IFERROR(__xludf.DUMMYFUNCTION("""COMPUTED_VALUE"""),646)</f>
        <v>646</v>
      </c>
      <c r="B10" s="25" t="str">
        <f ca="1">IFERROR(__xludf.DUMMYFUNCTION("""COMPUTED_VALUE"""),"Chad Weaver")</f>
        <v>Chad Weaver</v>
      </c>
      <c r="C10" s="25" t="str">
        <f ca="1">IFERROR(__xludf.DUMMYFUNCTION("""COMPUTED_VALUE"""),"Arion")</f>
        <v>Arion</v>
      </c>
      <c r="D10" s="25" t="str">
        <f ca="1">IFERROR(__xludf.DUMMYFUNCTION("""COMPUTED_VALUE"""),"Chris Smith")</f>
        <v>Chris Smith</v>
      </c>
      <c r="E10" s="25">
        <v>3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>
        <f ca="1">IFERROR(__xludf.DUMMYFUNCTION("""COMPUTED_VALUE"""),432)</f>
        <v>432</v>
      </c>
      <c r="Q10" s="25" t="str">
        <f ca="1">IFERROR(__xludf.DUMMYFUNCTION("""COMPUTED_VALUE"""),"Donna Spencer Lane")</f>
        <v>Donna Spencer Lane</v>
      </c>
      <c r="R10" s="25" t="str">
        <f ca="1">IFERROR(__xludf.DUMMYFUNCTION("""COMPUTED_VALUE"""),"Dreamcatcher's Miss Tobias")</f>
        <v>Dreamcatcher's Miss Tobias</v>
      </c>
      <c r="S10" s="25" t="str">
        <f ca="1">IFERROR(__xludf.DUMMYFUNCTION("""COMPUTED_VALUE"""),"Donna Spencer Lane")</f>
        <v>Donna Spencer Lane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>
        <f ca="1">IFERROR(__xludf.DUMMYFUNCTION("""COMPUTED_VALUE"""),700)</f>
        <v>700</v>
      </c>
      <c r="B11" s="25" t="str">
        <f ca="1">IFERROR(__xludf.DUMMYFUNCTION("""COMPUTED_VALUE"""),"Melisse Sharkey")</f>
        <v>Melisse Sharkey</v>
      </c>
      <c r="C11" s="25" t="str">
        <f ca="1">IFERROR(__xludf.DUMMYFUNCTION("""COMPUTED_VALUE"""),"DHS's Diamond Broker")</f>
        <v>DHS's Diamond Broker</v>
      </c>
      <c r="D11" s="25" t="str">
        <f ca="1">IFERROR(__xludf.DUMMYFUNCTION("""COMPUTED_VALUE"""),"Melisse Sharkey")</f>
        <v>Melisse Sharkey</v>
      </c>
      <c r="E11" s="25">
        <v>1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>
        <f ca="1">IFERROR(__xludf.DUMMYFUNCTION("""COMPUTED_VALUE"""),893)</f>
        <v>893</v>
      </c>
      <c r="Q11" s="25" t="str">
        <f ca="1">IFERROR(__xludf.DUMMYFUNCTION("""COMPUTED_VALUE"""),"Barbara Rector")</f>
        <v>Barbara Rector</v>
      </c>
      <c r="R11" s="25" t="str">
        <f ca="1">IFERROR(__xludf.DUMMYFUNCTION("""COMPUTED_VALUE"""),"Money Shot")</f>
        <v>Money Shot</v>
      </c>
      <c r="S11" s="25" t="str">
        <f ca="1">IFERROR(__xludf.DUMMYFUNCTION("""COMPUTED_VALUE"""),"Barbara Rector")</f>
        <v>Barbara Rector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>
        <f ca="1">IFERROR(__xludf.DUMMYFUNCTION("""COMPUTED_VALUE"""),893)</f>
        <v>893</v>
      </c>
      <c r="B12" s="25" t="str">
        <f ca="1">IFERROR(__xludf.DUMMYFUNCTION("""COMPUTED_VALUE"""),"Barbara Rector")</f>
        <v>Barbara Rector</v>
      </c>
      <c r="C12" s="25" t="str">
        <f ca="1">IFERROR(__xludf.DUMMYFUNCTION("""COMPUTED_VALUE"""),"Money Shot")</f>
        <v>Money Shot</v>
      </c>
      <c r="D12" s="25" t="str">
        <f ca="1">IFERROR(__xludf.DUMMYFUNCTION("""COMPUTED_VALUE"""),"Barbara Rector")</f>
        <v>Barbara Rector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>
        <f ca="1">IFERROR(__xludf.DUMMYFUNCTION("""COMPUTED_VALUE"""),532.1)</f>
        <v>532.1</v>
      </c>
      <c r="Q12" s="25" t="str">
        <f ca="1">IFERROR(__xludf.DUMMYFUNCTION("""COMPUTED_VALUE"""),"Ashleigh Johnson")</f>
        <v>Ashleigh Johnson</v>
      </c>
      <c r="R12" s="25" t="str">
        <f ca="1">IFERROR(__xludf.DUMMYFUNCTION("""COMPUTED_VALUE"""),"A Tiajuana Night")</f>
        <v>A Tiajuana Night</v>
      </c>
      <c r="S12" s="25" t="str">
        <f ca="1">IFERROR(__xludf.DUMMYFUNCTION("""COMPUTED_VALUE"""),"Ashleigh Johnson")</f>
        <v>Ashleigh Johnson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>
        <f ca="1">IFERROR(__xludf.DUMMYFUNCTION("""COMPUTED_VALUE"""),949)</f>
        <v>949</v>
      </c>
      <c r="B13" s="25" t="str">
        <f ca="1">IFERROR(__xludf.DUMMYFUNCTION("""COMPUTED_VALUE"""),"Jonathan Ramey")</f>
        <v>Jonathan Ramey</v>
      </c>
      <c r="C13" s="25" t="str">
        <f ca="1">IFERROR(__xludf.DUMMYFUNCTION("""COMPUTED_VALUE"""),"The Fresh Prince")</f>
        <v>The Fresh Prince</v>
      </c>
      <c r="D13" s="25" t="str">
        <f ca="1">IFERROR(__xludf.DUMMYFUNCTION("""COMPUTED_VALUE"""),"Jonathan Ramey")</f>
        <v>Jonathan Ramey</v>
      </c>
      <c r="E13" s="25">
        <v>6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 t="str">
        <f ca="1">IFERROR(__xludf.DUMMYFUNCTION("""COMPUTED_VALUE"""),"Back Number")</f>
        <v>Back Number</v>
      </c>
      <c r="Q13" s="25" t="str">
        <f ca="1">IFERROR(__xludf.DUMMYFUNCTION("""COMPUTED_VALUE"""),"Rider 2 Name")</f>
        <v>Rider 2 Name</v>
      </c>
      <c r="R13" s="25" t="str">
        <f ca="1">IFERROR(__xludf.DUMMYFUNCTION("""COMPUTED_VALUE"""),"Horse Name")</f>
        <v>Horse Name</v>
      </c>
      <c r="S13" s="25" t="str">
        <f ca="1">IFERROR(__xludf.DUMMYFUNCTION("""COMPUTED_VALUE"""),"Owner")</f>
        <v>Owner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>
        <f ca="1">IFERROR(__xludf.DUMMYFUNCTION("""COMPUTED_VALUE"""),591)</f>
        <v>591</v>
      </c>
      <c r="Q14" s="25" t="str">
        <f ca="1">IFERROR(__xludf.DUMMYFUNCTION("""COMPUTED_VALUE"""),"Jennifer Flannery-Hall")</f>
        <v>Jennifer Flannery-Hall</v>
      </c>
      <c r="R14" s="25" t="str">
        <f ca="1">IFERROR(__xludf.DUMMYFUNCTION("""COMPUTED_VALUE"""),"RRF Center Stage")</f>
        <v>RRF Center Stage</v>
      </c>
      <c r="S14" s="25" t="str">
        <f ca="1">IFERROR(__xludf.DUMMYFUNCTION("""COMPUTED_VALUE"""),"Jennifer Flannery-Hall")</f>
        <v>Jennifer Flannery-Hall</v>
      </c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 t="str">
        <f ca="1">IFERROR(__xludf.DUMMYFUNCTION("""COMPUTED_VALUE"""),"Back Number")</f>
        <v>Back Number</v>
      </c>
      <c r="Q15" s="25" t="str">
        <f ca="1">IFERROR(__xludf.DUMMYFUNCTION("""COMPUTED_VALUE"""),"Rider 3 Name")</f>
        <v>Rider 3 Name</v>
      </c>
      <c r="R15" s="25" t="str">
        <f ca="1">IFERROR(__xludf.DUMMYFUNCTION("""COMPUTED_VALUE"""),"Horse Name")</f>
        <v>Horse Name</v>
      </c>
      <c r="S15" s="25" t="str">
        <f ca="1">IFERROR(__xludf.DUMMYFUNCTION("""COMPUTED_VALUE"""),"Owner")</f>
        <v>Owner</v>
      </c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 t="str">
        <f ca="1">IFERROR(__xludf.DUMMYFUNCTION("""COMPUTED_VALUE"""),"Back Number")</f>
        <v>Back Number</v>
      </c>
      <c r="Q16" s="25" t="str">
        <f ca="1">IFERROR(__xludf.DUMMYFUNCTION("""COMPUTED_VALUE"""),"Rider 4 Name")</f>
        <v>Rider 4 Name</v>
      </c>
      <c r="R16" s="25" t="str">
        <f ca="1">IFERROR(__xludf.DUMMYFUNCTION("""COMPUTED_VALUE"""),"Horse Name")</f>
        <v>Horse Name</v>
      </c>
      <c r="S16" s="25" t="str">
        <f ca="1">IFERROR(__xludf.DUMMYFUNCTION("""COMPUTED_VALUE"""),"Owner")</f>
        <v>Owner</v>
      </c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 t="str">
        <f ca="1">IFERROR(__xludf.DUMMYFUNCTION("""COMPUTED_VALUE"""),"Back Number")</f>
        <v>Back Number</v>
      </c>
      <c r="Q17" s="25" t="str">
        <f ca="1">IFERROR(__xludf.DUMMYFUNCTION("""COMPUTED_VALUE"""),"Rider 6 Name")</f>
        <v>Rider 6 Name</v>
      </c>
      <c r="R17" s="25" t="str">
        <f ca="1">IFERROR(__xludf.DUMMYFUNCTION("""COMPUTED_VALUE"""),"Horse Name")</f>
        <v>Horse Name</v>
      </c>
      <c r="S17" s="25" t="str">
        <f ca="1">IFERROR(__xludf.DUMMYFUNCTION("""COMPUTED_VALUE"""),"Owner")</f>
        <v>Owner</v>
      </c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 x14ac:dyDescent="0.2">
      <c r="A41" s="16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5.75" customHeight="1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outlinePr summaryBelow="0" summaryRight="0"/>
    <pageSetUpPr fitToPage="1"/>
  </sheetPr>
  <dimension ref="A1:Z40"/>
  <sheetViews>
    <sheetView workbookViewId="0">
      <selection activeCell="N2" sqref="N2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3.950000000000003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202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P"")"),"#N/A")</f>
        <v>#N/A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 t="str">
        <f ca="1">IFERROR(__xludf.DUMMYFUNCTION("""COMPUTED_VALUE"""),"Back Number")</f>
        <v>Back Number</v>
      </c>
      <c r="Q2" s="25" t="str">
        <f ca="1">IFERROR(__xludf.DUMMYFUNCTION("""COMPUTED_VALUE"""),"Rider 2 Name")</f>
        <v>Rider 2 Name</v>
      </c>
      <c r="R2" s="25" t="str">
        <f ca="1">IFERROR(__xludf.DUMMYFUNCTION("""COMPUTED_VALUE"""),"Horse Name")</f>
        <v>Horse Name</v>
      </c>
      <c r="S2" s="25" t="str">
        <f ca="1">IFERROR(__xludf.DUMMYFUNCTION("""COMPUTED_VALUE"""),"Owner")</f>
        <v>Owner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IFERROR(__xludf.DUMMYFUNCTION("""COMPUTED_VALUE"""),"Rider 3 Name")</f>
        <v>Rider 3 Name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4 Name")</f>
        <v>Rider 4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6 Name")</f>
        <v>Rider 6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outlinePr summaryBelow="0" summaryRight="0"/>
    <pageSetUpPr fitToPage="1"/>
  </sheetPr>
  <dimension ref="A1:Z40"/>
  <sheetViews>
    <sheetView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27.42578125" customWidth="1"/>
    <col min="4" max="4" width="30.42578125" customWidth="1"/>
    <col min="5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26.1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77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P"")"),"243")</f>
        <v>243</v>
      </c>
      <c r="B2" s="25" t="str">
        <f ca="1">IFERROR(__xludf.DUMMYFUNCTION("""COMPUTED_VALUE"""),"Tana Wells")</f>
        <v>Tana Wells</v>
      </c>
      <c r="C2" s="25" t="str">
        <f ca="1">IFERROR(__xludf.DUMMYFUNCTION("""COMPUTED_VALUE"""),"SHS Bizarre Addiction")</f>
        <v>SHS Bizarre Addiction</v>
      </c>
      <c r="D2" s="25" t="str">
        <f ca="1">IFERROR(__xludf.DUMMYFUNCTION("""COMPUTED_VALUE"""),"Melissa Walters")</f>
        <v>Melissa Walters</v>
      </c>
      <c r="E2" s="25">
        <v>3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IFERROR(__xludf.DUMMYFUNCTION("""COMPUTED_VALUE"""),243)</f>
        <v>243</v>
      </c>
      <c r="Q2" s="25" t="str">
        <f ca="1">IFERROR(__xludf.DUMMYFUNCTION("""COMPUTED_VALUE"""),"Tana Wells")</f>
        <v>Tana Wells</v>
      </c>
      <c r="R2" s="25" t="str">
        <f ca="1">IFERROR(__xludf.DUMMYFUNCTION("""COMPUTED_VALUE"""),"SHS Bizarre Addiction")</f>
        <v>SHS Bizarre Addiction</v>
      </c>
      <c r="S2" s="25" t="str">
        <f ca="1">IFERROR(__xludf.DUMMYFUNCTION("""COMPUTED_VALUE"""),"Melissa Walters")</f>
        <v>Melissa Walters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IFERROR(__xludf.DUMMYFUNCTION("""COMPUTED_VALUE"""),"394")</f>
        <v>394</v>
      </c>
      <c r="B3" s="25" t="str">
        <f ca="1">IFERROR(__xludf.DUMMYFUNCTION("""COMPUTED_VALUE"""),"Jamie Grigsby")</f>
        <v>Jamie Grigsby</v>
      </c>
      <c r="C3" s="25" t="str">
        <f ca="1">IFERROR(__xludf.DUMMYFUNCTION("""COMPUTED_VALUE"""),"Reed's Silver Ghost")</f>
        <v>Reed's Silver Ghost</v>
      </c>
      <c r="D3" s="25" t="str">
        <f ca="1">IFERROR(__xludf.DUMMYFUNCTION("""COMPUTED_VALUE"""),"Greta Kohter")</f>
        <v>Greta Kohter</v>
      </c>
      <c r="E3" s="25">
        <v>4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IFERROR(__xludf.DUMMYFUNCTION("""COMPUTED_VALUE"""),66)</f>
        <v>66</v>
      </c>
      <c r="Q3" s="25" t="str">
        <f ca="1">IFERROR(__xludf.DUMMYFUNCTION("""COMPUTED_VALUE"""),"Charlie DeAtley")</f>
        <v>Charlie DeAtley</v>
      </c>
      <c r="R3" s="25" t="str">
        <f ca="1">IFERROR(__xludf.DUMMYFUNCTION("""COMPUTED_VALUE"""),"Black Market Diamond")</f>
        <v>Black Market Diamond</v>
      </c>
      <c r="S3" s="25" t="str">
        <f ca="1">IFERROR(__xludf.DUMMYFUNCTION("""COMPUTED_VALUE"""),"Steve and Susan Heuslein")</f>
        <v>Steve and Susan Heuslein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 t="str">
        <f ca="1">IFERROR(__xludf.DUMMYFUNCTION("""COMPUTED_VALUE"""),"620")</f>
        <v>620</v>
      </c>
      <c r="B4" s="25" t="str">
        <f ca="1">IFERROR(__xludf.DUMMYFUNCTION("""COMPUTED_VALUE"""),"John Rose")</f>
        <v>John Rose</v>
      </c>
      <c r="C4" s="25" t="str">
        <f ca="1">IFERROR(__xludf.DUMMYFUNCTION("""COMPUTED_VALUE"""),"RHF Windswept")</f>
        <v>RHF Windswept</v>
      </c>
      <c r="D4" s="25" t="str">
        <f ca="1">IFERROR(__xludf.DUMMYFUNCTION("""COMPUTED_VALUE"""),"Sharma Brown")</f>
        <v>Sharma Brown</v>
      </c>
      <c r="E4" s="25">
        <v>2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IFERROR(__xludf.DUMMYFUNCTION("""COMPUTED_VALUE"""),394)</f>
        <v>394</v>
      </c>
      <c r="Q4" s="25" t="str">
        <f ca="1">IFERROR(__xludf.DUMMYFUNCTION("""COMPUTED_VALUE"""),"Jamie Grigsby")</f>
        <v>Jamie Grigsby</v>
      </c>
      <c r="R4" s="25" t="str">
        <f ca="1">IFERROR(__xludf.DUMMYFUNCTION("""COMPUTED_VALUE"""),"Reed's Silver Ghost")</f>
        <v>Reed's Silver Ghost</v>
      </c>
      <c r="S4" s="25" t="str">
        <f ca="1">IFERROR(__xludf.DUMMYFUNCTION("""COMPUTED_VALUE"""),"Greta Kohter")</f>
        <v>Greta Kohter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 t="str">
        <f ca="1">IFERROR(__xludf.DUMMYFUNCTION("""COMPUTED_VALUE"""),"66")</f>
        <v>66</v>
      </c>
      <c r="B5" s="25" t="str">
        <f ca="1">IFERROR(__xludf.DUMMYFUNCTION("""COMPUTED_VALUE"""),"Charlie DeAtley")</f>
        <v>Charlie DeAtley</v>
      </c>
      <c r="C5" s="25" t="str">
        <f ca="1">IFERROR(__xludf.DUMMYFUNCTION("""COMPUTED_VALUE"""),"Black Market Diamond")</f>
        <v>Black Market Diamond</v>
      </c>
      <c r="D5" s="25" t="str">
        <f ca="1">IFERROR(__xludf.DUMMYFUNCTION("""COMPUTED_VALUE"""),"Steve and Susan Heuslein")</f>
        <v>Steve and Susan Heuslein</v>
      </c>
      <c r="E5" s="25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2 Name")</f>
        <v>Rider 2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IFERROR(__xludf.DUMMYFUNCTION("""COMPUTED_VALUE"""),620)</f>
        <v>620</v>
      </c>
      <c r="Q6" s="25" t="str">
        <f ca="1">IFERROR(__xludf.DUMMYFUNCTION("""COMPUTED_VALUE"""),"John Rose")</f>
        <v>John Rose</v>
      </c>
      <c r="R6" s="25" t="str">
        <f ca="1">IFERROR(__xludf.DUMMYFUNCTION("""COMPUTED_VALUE"""),"RHF Windswept")</f>
        <v>RHF Windswept</v>
      </c>
      <c r="S6" s="25" t="str">
        <f ca="1">IFERROR(__xludf.DUMMYFUNCTION("""COMPUTED_VALUE"""),"Sharma Brown")</f>
        <v>Sharma Brown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3 Name")</f>
        <v>Rider 3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5 Name")</f>
        <v>Rider 5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6 Name")</f>
        <v>Rider 6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outlinePr summaryBelow="0" summaryRight="0"/>
    <pageSetUpPr fitToPage="1"/>
  </sheetPr>
  <dimension ref="A1:Z40"/>
  <sheetViews>
    <sheetView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27.7109375" customWidth="1"/>
    <col min="4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3.6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203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P"")"),"119")</f>
        <v>119</v>
      </c>
      <c r="B2" s="25" t="str">
        <f ca="1">IFERROR(__xludf.DUMMYFUNCTION("""COMPUTED_VALUE"""),"Tyler Kilburn")</f>
        <v>Tyler Kilburn</v>
      </c>
      <c r="C2" s="25" t="str">
        <f ca="1">IFERROR(__xludf.DUMMYFUNCTION("""COMPUTED_VALUE"""),"Kilburns Holy Nightmare")</f>
        <v>Kilburns Holy Nightmare</v>
      </c>
      <c r="D2" s="25" t="str">
        <f ca="1">IFERROR(__xludf.DUMMYFUNCTION("""COMPUTED_VALUE"""),"Paul Kilburn")</f>
        <v>Paul Kilburn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IFERROR(__xludf.DUMMYFUNCTION("""COMPUTED_VALUE"""),119)</f>
        <v>119</v>
      </c>
      <c r="Q2" s="25" t="str">
        <f ca="1">IFERROR(__xludf.DUMMYFUNCTION("""COMPUTED_VALUE"""),"Tyler Kilburn")</f>
        <v>Tyler Kilburn</v>
      </c>
      <c r="R2" s="25" t="str">
        <f ca="1">IFERROR(__xludf.DUMMYFUNCTION("""COMPUTED_VALUE"""),"Kilburns Holy Nightmare")</f>
        <v>Kilburns Holy Nightmare</v>
      </c>
      <c r="S2" s="25" t="str">
        <f ca="1">IFERROR(__xludf.DUMMYFUNCTION("""COMPUTED_VALUE"""),"Paul Kilburn")</f>
        <v>Paul Kilburn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IFERROR(__xludf.DUMMYFUNCTION("""COMPUTED_VALUE"""),"139")</f>
        <v>139</v>
      </c>
      <c r="B3" s="25" t="str">
        <f ca="1">IFERROR(__xludf.DUMMYFUNCTION("""COMPUTED_VALUE"""),"Eliza Walters")</f>
        <v>Eliza Walters</v>
      </c>
      <c r="C3" s="25" t="str">
        <f ca="1">IFERROR(__xludf.DUMMYFUNCTION("""COMPUTED_VALUE"""),"Poblo")</f>
        <v>Poblo</v>
      </c>
      <c r="D3" s="25" t="s">
        <v>57</v>
      </c>
      <c r="E3" s="25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IFERROR(__xludf.DUMMYFUNCTION("""COMPUTED_VALUE"""),238)</f>
        <v>238</v>
      </c>
      <c r="Q3" s="25" t="str">
        <f ca="1">IFERROR(__xludf.DUMMYFUNCTION("""COMPUTED_VALUE"""),"Kendall Jordan")</f>
        <v>Kendall Jordan</v>
      </c>
      <c r="R3" s="25" t="str">
        <f ca="1">IFERROR(__xludf.DUMMYFUNCTION("""COMPUTED_VALUE"""),"Spartan")</f>
        <v>Spartan</v>
      </c>
      <c r="S3" s="25" t="str">
        <f ca="1">IFERROR(__xludf.DUMMYFUNCTION("""COMPUTED_VALUE"""),"Kendall Jordan")</f>
        <v>Kendall Jordan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 t="str">
        <f ca="1">IFERROR(__xludf.DUMMYFUNCTION("""COMPUTED_VALUE"""),"238")</f>
        <v>238</v>
      </c>
      <c r="B4" s="25" t="str">
        <f ca="1">IFERROR(__xludf.DUMMYFUNCTION("""COMPUTED_VALUE"""),"Kendall Jordan")</f>
        <v>Kendall Jordan</v>
      </c>
      <c r="C4" s="25" t="str">
        <f ca="1">IFERROR(__xludf.DUMMYFUNCTION("""COMPUTED_VALUE"""),"Spartan")</f>
        <v>Spartan</v>
      </c>
      <c r="D4" s="25" t="s">
        <v>57</v>
      </c>
      <c r="E4" s="25">
        <v>3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IFERROR(__xludf.DUMMYFUNCTION("""COMPUTED_VALUE"""),139)</f>
        <v>139</v>
      </c>
      <c r="Q4" s="25" t="str">
        <f ca="1">IFERROR(__xludf.DUMMYFUNCTION("""COMPUTED_VALUE"""),"Eliza Walters")</f>
        <v>Eliza Walters</v>
      </c>
      <c r="R4" s="25" t="str">
        <f ca="1">IFERROR(__xludf.DUMMYFUNCTION("""COMPUTED_VALUE"""),"Poblo")</f>
        <v>Poblo</v>
      </c>
      <c r="S4" s="25" t="str">
        <f ca="1">IFERROR(__xludf.DUMMYFUNCTION("""COMPUTED_VALUE"""),"Kendell Jordan")</f>
        <v>Kendell Jordan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2 Name")</f>
        <v>Rider 2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3 Name")</f>
        <v>Rider 3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5 Name")</f>
        <v>Rider 5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6 Name")</f>
        <v>Rider 6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outlinePr summaryBelow="0" summaryRight="0"/>
    <pageSetUpPr fitToPage="1"/>
  </sheetPr>
  <dimension ref="A1:Z40"/>
  <sheetViews>
    <sheetView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6.28515625" customWidth="1"/>
    <col min="4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0.95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80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P"")"),"144")</f>
        <v>144</v>
      </c>
      <c r="B2" s="25" t="str">
        <f ca="1">IFERROR(__xludf.DUMMYFUNCTION("""COMPUTED_VALUE"""),"Karen Royer")</f>
        <v>Karen Royer</v>
      </c>
      <c r="C2" s="25" t="str">
        <f ca="1">IFERROR(__xludf.DUMMYFUNCTION("""COMPUTED_VALUE"""),"Triple R's Lady Godiva")</f>
        <v>Triple R's Lady Godiva</v>
      </c>
      <c r="D2" s="25" t="str">
        <f ca="1">IFERROR(__xludf.DUMMYFUNCTION("""COMPUTED_VALUE"""),"Karen Royer")</f>
        <v>Karen Royer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IFERROR(__xludf.DUMMYFUNCTION("""COMPUTED_VALUE"""),144)</f>
        <v>144</v>
      </c>
      <c r="Q2" s="25" t="str">
        <f ca="1">IFERROR(__xludf.DUMMYFUNCTION("""COMPUTED_VALUE"""),"Karen Royer")</f>
        <v>Karen Royer</v>
      </c>
      <c r="R2" s="25" t="str">
        <f ca="1">IFERROR(__xludf.DUMMYFUNCTION("""COMPUTED_VALUE"""),"Triple R's Lady Godiva")</f>
        <v>Triple R's Lady Godiva</v>
      </c>
      <c r="S2" s="25" t="str">
        <f ca="1">IFERROR(__xludf.DUMMYFUNCTION("""COMPUTED_VALUE"""),"Karen Royer")</f>
        <v>Karen Royer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IFERROR(__xludf.DUMMYFUNCTION("""COMPUTED_VALUE"""),"420")</f>
        <v>420</v>
      </c>
      <c r="B3" s="25" t="str">
        <f ca="1">IFERROR(__xludf.DUMMYFUNCTION("""COMPUTED_VALUE"""),"Sydney Agee")</f>
        <v>Sydney Agee</v>
      </c>
      <c r="C3" s="25" t="str">
        <f ca="1">IFERROR(__xludf.DUMMYFUNCTION("""COMPUTED_VALUE"""),"Rockin R Imagine That")</f>
        <v>Rockin R Imagine That</v>
      </c>
      <c r="D3" s="25" t="str">
        <f ca="1">IFERROR(__xludf.DUMMYFUNCTION("""COMPUTED_VALUE"""),"Sydney Agee")</f>
        <v>Sydney Agee</v>
      </c>
      <c r="E3" s="25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IFERROR(__xludf.DUMMYFUNCTION("""COMPUTED_VALUE"""),"Rider 2 Name")</f>
        <v>Rider 2 Name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 t="str">
        <f ca="1">IFERROR(__xludf.DUMMYFUNCTION("""COMPUTED_VALUE"""),"50")</f>
        <v>50</v>
      </c>
      <c r="B4" s="25" t="str">
        <f ca="1">IFERROR(__xludf.DUMMYFUNCTION("""COMPUTED_VALUE"""),"Sharma Brown")</f>
        <v>Sharma Brown</v>
      </c>
      <c r="C4" s="25" t="str">
        <f ca="1">IFERROR(__xludf.DUMMYFUNCTION("""COMPUTED_VALUE"""),"G &amp; B's Deuces Wild")</f>
        <v>G &amp; B's Deuces Wild</v>
      </c>
      <c r="D4" s="25" t="str">
        <f ca="1">IFERROR(__xludf.DUMMYFUNCTION("""COMPUTED_VALUE"""),"Sharma Brown")</f>
        <v>Sharma Brown</v>
      </c>
      <c r="E4" s="25">
        <v>3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IFERROR(__xludf.DUMMYFUNCTION("""COMPUTED_VALUE"""),420)</f>
        <v>420</v>
      </c>
      <c r="Q4" s="25" t="str">
        <f ca="1">IFERROR(__xludf.DUMMYFUNCTION("""COMPUTED_VALUE"""),"Sydney Agee")</f>
        <v>Sydney Agee</v>
      </c>
      <c r="R4" s="25" t="str">
        <f ca="1">IFERROR(__xludf.DUMMYFUNCTION("""COMPUTED_VALUE"""),"Rockin R Imagine That")</f>
        <v>Rockin R Imagine That</v>
      </c>
      <c r="S4" s="25" t="str">
        <f ca="1">IFERROR(__xludf.DUMMYFUNCTION("""COMPUTED_VALUE"""),"Sydney Agee")</f>
        <v>Sydney Agee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 t="str">
        <f ca="1">IFERROR(__xludf.DUMMYFUNCTION("""COMPUTED_VALUE"""),"72")</f>
        <v>72</v>
      </c>
      <c r="B5" s="25" t="str">
        <f ca="1">IFERROR(__xludf.DUMMYFUNCTION("""COMPUTED_VALUE"""),"Becki Brown")</f>
        <v>Becki Brown</v>
      </c>
      <c r="C5" s="25" t="str">
        <f ca="1">IFERROR(__xludf.DUMMYFUNCTION("""COMPUTED_VALUE"""),"Rocky Creek's Gentleman Jack")</f>
        <v>Rocky Creek's Gentleman Jack</v>
      </c>
      <c r="D5" s="25" t="s">
        <v>65</v>
      </c>
      <c r="E5" s="25">
        <v>3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IFERROR(__xludf.DUMMYFUNCTION("""COMPUTED_VALUE"""),50)</f>
        <v>50</v>
      </c>
      <c r="Q5" s="25" t="str">
        <f ca="1">IFERROR(__xludf.DUMMYFUNCTION("""COMPUTED_VALUE"""),"Sharma Brown")</f>
        <v>Sharma Brown</v>
      </c>
      <c r="R5" s="25" t="str">
        <f ca="1">IFERROR(__xludf.DUMMYFUNCTION("""COMPUTED_VALUE"""),"G &amp; B's Deuces Wild")</f>
        <v>G &amp; B's Deuces Wild</v>
      </c>
      <c r="S5" s="25" t="str">
        <f ca="1">IFERROR(__xludf.DUMMYFUNCTION("""COMPUTED_VALUE"""),"Sharma Brown")</f>
        <v>Sharma Brown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IFERROR(__xludf.DUMMYFUNCTION("""COMPUTED_VALUE"""),72)</f>
        <v>72</v>
      </c>
      <c r="Q6" s="25" t="str">
        <f ca="1">IFERROR(__xludf.DUMMYFUNCTION("""COMPUTED_VALUE"""),"Becki Brown")</f>
        <v>Becki Brown</v>
      </c>
      <c r="R6" s="25" t="str">
        <f ca="1">IFERROR(__xludf.DUMMYFUNCTION("""COMPUTED_VALUE"""),"Rocky Creek's Gentleman Jack")</f>
        <v>Rocky Creek's Gentleman Jack</v>
      </c>
      <c r="S6" s="25" t="str">
        <f ca="1">IFERROR(__xludf.DUMMYFUNCTION("""COMPUTED_VALUE"""),"Beci Brown")</f>
        <v>Beci Brown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3 Name")</f>
        <v>Rider 3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5 Name")</f>
        <v>Rider 5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6 Name")</f>
        <v>Rider 6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outlinePr summaryBelow="0" summaryRight="0"/>
    <pageSetUpPr fitToPage="1"/>
  </sheetPr>
  <dimension ref="A1:Z998"/>
  <sheetViews>
    <sheetView topLeftCell="B1"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3.140625" customWidth="1"/>
    <col min="4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5.450000000000003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47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IFERROR(__xludf.DUMMYFUNCTION("QUERY(P2:S999,""SELECT * WHERE R IS NOT NULL AND R !='Horse Name' Order By P"")"),191)</f>
        <v>191</v>
      </c>
      <c r="B2" s="25" t="str">
        <f ca="1">IFERROR(__xludf.DUMMYFUNCTION("""COMPUTED_VALUE"""),"Sydnee Dillard")</f>
        <v>Sydnee Dillard</v>
      </c>
      <c r="C2" s="25" t="str">
        <f ca="1">IFERROR(__xludf.DUMMYFUNCTION("""COMPUTED_VALUE"""),"LV's Amy Lee")</f>
        <v>LV's Amy Lee</v>
      </c>
      <c r="D2" s="25" t="str">
        <f ca="1">IFERROR(__xludf.DUMMYFUNCTION("""COMPUTED_VALUE"""),"Sydnee Dillard")</f>
        <v>Sydnee Dillard</v>
      </c>
      <c r="E2" s="25">
        <v>3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IFERROR(__xludf.DUMMYFUNCTION("""COMPUTED_VALUE"""),828)</f>
        <v>828</v>
      </c>
      <c r="Q2" s="25" t="str">
        <f ca="1">IFERROR(__xludf.DUMMYFUNCTION("""COMPUTED_VALUE"""),"Shelby Weckerly")</f>
        <v>Shelby Weckerly</v>
      </c>
      <c r="R2" s="25" t="str">
        <f ca="1">IFERROR(__xludf.DUMMYFUNCTION("""COMPUTED_VALUE"""),"WOF Soul on Fire")</f>
        <v>WOF Soul on Fire</v>
      </c>
      <c r="S2" s="25" t="str">
        <f ca="1">IFERROR(__xludf.DUMMYFUNCTION("""COMPUTED_VALUE"""),"Shelby Weckerly")</f>
        <v>Shelby Weckerly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IFERROR(__xludf.DUMMYFUNCTION("""COMPUTED_VALUE"""),300)</f>
        <v>300</v>
      </c>
      <c r="B3" s="25" t="str">
        <f ca="1">IFERROR(__xludf.DUMMYFUNCTION("""COMPUTED_VALUE"""),"Allison Jones")</f>
        <v>Allison Jones</v>
      </c>
      <c r="C3" s="25" t="str">
        <f ca="1">IFERROR(__xludf.DUMMYFUNCTION("""COMPUTED_VALUE"""),"Silver's Meteor Shower")</f>
        <v>Silver's Meteor Shower</v>
      </c>
      <c r="D3" s="25" t="str">
        <f ca="1">IFERROR(__xludf.DUMMYFUNCTION("""COMPUTED_VALUE"""),"Allison Jones")</f>
        <v>Allison Jones</v>
      </c>
      <c r="E3" s="25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IFERROR(__xludf.DUMMYFUNCTION("""COMPUTED_VALUE"""),811)</f>
        <v>811</v>
      </c>
      <c r="Q3" s="25" t="str">
        <f ca="1">IFERROR(__xludf.DUMMYFUNCTION("""COMPUTED_VALUE"""),"Julie Brown")</f>
        <v>Julie Brown</v>
      </c>
      <c r="R3" s="25" t="str">
        <f ca="1">IFERROR(__xludf.DUMMYFUNCTION("""COMPUTED_VALUE"""),"Elite's Hallelujah")</f>
        <v>Elite's Hallelujah</v>
      </c>
      <c r="S3" s="25" t="str">
        <f ca="1">IFERROR(__xludf.DUMMYFUNCTION("""COMPUTED_VALUE"""),"Julie Brown")</f>
        <v>Julie Brown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IFERROR(__xludf.DUMMYFUNCTION("""COMPUTED_VALUE"""),532)</f>
        <v>532</v>
      </c>
      <c r="B4" s="25" t="str">
        <f ca="1">IFERROR(__xludf.DUMMYFUNCTION("""COMPUTED_VALUE"""),"Breanna Hardin")</f>
        <v>Breanna Hardin</v>
      </c>
      <c r="C4" s="25" t="str">
        <f ca="1">IFERROR(__xludf.DUMMYFUNCTION("""COMPUTED_VALUE"""),"Rebel Ridge Colonel Bob")</f>
        <v>Rebel Ridge Colonel Bob</v>
      </c>
      <c r="D4" s="25" t="str">
        <f ca="1">IFERROR(__xludf.DUMMYFUNCTION("""COMPUTED_VALUE"""),"Breanna Hardin")</f>
        <v>Breanna Hardin</v>
      </c>
      <c r="E4" s="25">
        <v>8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IFERROR(__xludf.DUMMYFUNCTION("""COMPUTED_VALUE"""),777)</f>
        <v>777</v>
      </c>
      <c r="Q4" s="25" t="str">
        <f ca="1">IFERROR(__xludf.DUMMYFUNCTION("""COMPUTED_VALUE"""),"Peg Edwards")</f>
        <v>Peg Edwards</v>
      </c>
      <c r="R4" s="25" t="str">
        <f ca="1">IFERROR(__xludf.DUMMYFUNCTION("""COMPUTED_VALUE"""),"Paco's Master Piece")</f>
        <v>Paco's Master Piece</v>
      </c>
      <c r="S4" s="25" t="str">
        <f ca="1">IFERROR(__xludf.DUMMYFUNCTION("""COMPUTED_VALUE"""),"Peg Edwards")</f>
        <v>Peg Edwards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IFERROR(__xludf.DUMMYFUNCTION("""COMPUTED_VALUE"""),777)</f>
        <v>777</v>
      </c>
      <c r="B5" s="25" t="str">
        <f ca="1">IFERROR(__xludf.DUMMYFUNCTION("""COMPUTED_VALUE"""),"Peg Edwards")</f>
        <v>Peg Edwards</v>
      </c>
      <c r="C5" s="25" t="str">
        <f ca="1">IFERROR(__xludf.DUMMYFUNCTION("""COMPUTED_VALUE"""),"Paco's Master Piece")</f>
        <v>Paco's Master Piece</v>
      </c>
      <c r="D5" s="25" t="str">
        <f ca="1">IFERROR(__xludf.DUMMYFUNCTION("""COMPUTED_VALUE"""),"Peg Edwards")</f>
        <v>Peg Edwards</v>
      </c>
      <c r="E5" s="25">
        <v>7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IFERROR(__xludf.DUMMYFUNCTION("""COMPUTED_VALUE"""),919)</f>
        <v>919</v>
      </c>
      <c r="Q5" s="25" t="str">
        <f ca="1">IFERROR(__xludf.DUMMYFUNCTION("""COMPUTED_VALUE"""),"Jonathan Ramey")</f>
        <v>Jonathan Ramey</v>
      </c>
      <c r="R5" s="25" t="str">
        <f ca="1">IFERROR(__xludf.DUMMYFUNCTION("""COMPUTED_VALUE"""),"Rio's River Dance")</f>
        <v>Rio's River Dance</v>
      </c>
      <c r="S5" s="25" t="str">
        <f ca="1">IFERROR(__xludf.DUMMYFUNCTION("""COMPUTED_VALUE"""),"Jonathan Ramey")</f>
        <v>Jonathan Ramey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IFERROR(__xludf.DUMMYFUNCTION("""COMPUTED_VALUE"""),811)</f>
        <v>811</v>
      </c>
      <c r="B6" s="25" t="str">
        <f ca="1">IFERROR(__xludf.DUMMYFUNCTION("""COMPUTED_VALUE"""),"Julie Brown")</f>
        <v>Julie Brown</v>
      </c>
      <c r="C6" s="25" t="str">
        <f ca="1">IFERROR(__xludf.DUMMYFUNCTION("""COMPUTED_VALUE"""),"Elite's Hallelujah")</f>
        <v>Elite's Hallelujah</v>
      </c>
      <c r="D6" s="25" t="str">
        <f ca="1">IFERROR(__xludf.DUMMYFUNCTION("""COMPUTED_VALUE"""),"Julie Brown")</f>
        <v>Julie Brown</v>
      </c>
      <c r="E6" s="25">
        <v>9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IFERROR(__xludf.DUMMYFUNCTION("""COMPUTED_VALUE"""),845)</f>
        <v>845</v>
      </c>
      <c r="Q6" s="25" t="str">
        <f ca="1">IFERROR(__xludf.DUMMYFUNCTION("""COMPUTED_VALUE"""),"Cole Compton")</f>
        <v>Cole Compton</v>
      </c>
      <c r="R6" s="25" t="str">
        <f ca="1">IFERROR(__xludf.DUMMYFUNCTION("""COMPUTED_VALUE"""),"GHS's Quality Road ")</f>
        <v xml:space="preserve">GHS's Quality Road </v>
      </c>
      <c r="S6" s="25" t="str">
        <f ca="1">IFERROR(__xludf.DUMMYFUNCTION("""COMPUTED_VALUE"""),"Cole Compton")</f>
        <v>Cole Compton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IFERROR(__xludf.DUMMYFUNCTION("""COMPUTED_VALUE"""),828)</f>
        <v>828</v>
      </c>
      <c r="B7" s="25" t="str">
        <f ca="1">IFERROR(__xludf.DUMMYFUNCTION("""COMPUTED_VALUE"""),"Shelby Weckerly")</f>
        <v>Shelby Weckerly</v>
      </c>
      <c r="C7" s="25" t="str">
        <f ca="1">IFERROR(__xludf.DUMMYFUNCTION("""COMPUTED_VALUE"""),"WOF Soul on Fire")</f>
        <v>WOF Soul on Fire</v>
      </c>
      <c r="D7" s="25" t="str">
        <f ca="1">IFERROR(__xludf.DUMMYFUNCTION("""COMPUTED_VALUE"""),"Shelby Weckerly")</f>
        <v>Shelby Weckerly</v>
      </c>
      <c r="E7" s="25">
        <v>5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IFERROR(__xludf.DUMMYFUNCTION("""COMPUTED_VALUE"""),532)</f>
        <v>532</v>
      </c>
      <c r="Q7" s="25" t="str">
        <f ca="1">IFERROR(__xludf.DUMMYFUNCTION("""COMPUTED_VALUE"""),"Breanna Hardin")</f>
        <v>Breanna Hardin</v>
      </c>
      <c r="R7" s="25" t="str">
        <f ca="1">IFERROR(__xludf.DUMMYFUNCTION("""COMPUTED_VALUE"""),"Rebel Ridge Colonel Bob")</f>
        <v>Rebel Ridge Colonel Bob</v>
      </c>
      <c r="S7" s="25" t="str">
        <f ca="1">IFERROR(__xludf.DUMMYFUNCTION("""COMPUTED_VALUE"""),"Breanna Hardin")</f>
        <v>Breanna Hardin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>
        <f ca="1">IFERROR(__xludf.DUMMYFUNCTION("""COMPUTED_VALUE"""),845)</f>
        <v>845</v>
      </c>
      <c r="B8" s="25" t="str">
        <f ca="1">IFERROR(__xludf.DUMMYFUNCTION("""COMPUTED_VALUE"""),"Cole Compton")</f>
        <v>Cole Compton</v>
      </c>
      <c r="C8" s="25" t="str">
        <f ca="1">IFERROR(__xludf.DUMMYFUNCTION("""COMPUTED_VALUE"""),"GHS's Quality Road ")</f>
        <v xml:space="preserve">GHS's Quality Road </v>
      </c>
      <c r="D8" s="25" t="str">
        <f ca="1">IFERROR(__xludf.DUMMYFUNCTION("""COMPUTED_VALUE"""),"Cole Compton")</f>
        <v>Cole Compton</v>
      </c>
      <c r="E8" s="25">
        <v>4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IFERROR(__xludf.DUMMYFUNCTION("""COMPUTED_VALUE"""),300)</f>
        <v>300</v>
      </c>
      <c r="Q8" s="25" t="str">
        <f ca="1">IFERROR(__xludf.DUMMYFUNCTION("""COMPUTED_VALUE"""),"Allison Jones")</f>
        <v>Allison Jones</v>
      </c>
      <c r="R8" s="25" t="str">
        <f ca="1">IFERROR(__xludf.DUMMYFUNCTION("""COMPUTED_VALUE"""),"Silver's Meteor Shower")</f>
        <v>Silver's Meteor Shower</v>
      </c>
      <c r="S8" s="25" t="str">
        <f ca="1">IFERROR(__xludf.DUMMYFUNCTION("""COMPUTED_VALUE"""),"Allison Jones")</f>
        <v>Allison Jones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>
        <f ca="1">IFERROR(__xludf.DUMMYFUNCTION("""COMPUTED_VALUE"""),919)</f>
        <v>919</v>
      </c>
      <c r="B9" s="25" t="str">
        <f ca="1">IFERROR(__xludf.DUMMYFUNCTION("""COMPUTED_VALUE"""),"Jonathan Ramey")</f>
        <v>Jonathan Ramey</v>
      </c>
      <c r="C9" s="25" t="str">
        <f ca="1">IFERROR(__xludf.DUMMYFUNCTION("""COMPUTED_VALUE"""),"Rio's River Dance")</f>
        <v>Rio's River Dance</v>
      </c>
      <c r="D9" s="25" t="str">
        <f ca="1">IFERROR(__xludf.DUMMYFUNCTION("""COMPUTED_VALUE"""),"Jonathan Ramey")</f>
        <v>Jonathan Ramey</v>
      </c>
      <c r="E9" s="25">
        <v>6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IFERROR(__xludf.DUMMYFUNCTION("""COMPUTED_VALUE"""),930)</f>
        <v>930</v>
      </c>
      <c r="Q9" s="25" t="str">
        <f ca="1">IFERROR(__xludf.DUMMYFUNCTION("""COMPUTED_VALUE"""),"Ashleigh Johnson")</f>
        <v>Ashleigh Johnson</v>
      </c>
      <c r="R9" s="25" t="str">
        <f ca="1">IFERROR(__xludf.DUMMYFUNCTION("""COMPUTED_VALUE"""),"A Fearless Warrior")</f>
        <v>A Fearless Warrior</v>
      </c>
      <c r="S9" s="25" t="str">
        <f ca="1">IFERROR(__xludf.DUMMYFUNCTION("""COMPUTED_VALUE"""),"Ashleigh Johnson")</f>
        <v>Ashleigh Johnson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>
        <f ca="1">IFERROR(__xludf.DUMMYFUNCTION("""COMPUTED_VALUE"""),930)</f>
        <v>930</v>
      </c>
      <c r="B10" s="25" t="str">
        <f ca="1">IFERROR(__xludf.DUMMYFUNCTION("""COMPUTED_VALUE"""),"Ashleigh Johnson")</f>
        <v>Ashleigh Johnson</v>
      </c>
      <c r="C10" s="25" t="str">
        <f ca="1">IFERROR(__xludf.DUMMYFUNCTION("""COMPUTED_VALUE"""),"A Fearless Warrior")</f>
        <v>A Fearless Warrior</v>
      </c>
      <c r="D10" s="25" t="str">
        <f ca="1">IFERROR(__xludf.DUMMYFUNCTION("""COMPUTED_VALUE"""),"Ashleigh Johnson")</f>
        <v>Ashleigh Johnson</v>
      </c>
      <c r="E10" s="25">
        <v>1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>
        <f ca="1">IFERROR(__xludf.DUMMYFUNCTION("""COMPUTED_VALUE"""),191)</f>
        <v>191</v>
      </c>
      <c r="Q10" s="25" t="str">
        <f ca="1">IFERROR(__xludf.DUMMYFUNCTION("""COMPUTED_VALUE"""),"Sydnee Dillard")</f>
        <v>Sydnee Dillard</v>
      </c>
      <c r="R10" s="25" t="str">
        <f ca="1">IFERROR(__xludf.DUMMYFUNCTION("""COMPUTED_VALUE"""),"LV's Amy Lee")</f>
        <v>LV's Amy Lee</v>
      </c>
      <c r="S10" s="25" t="str">
        <f ca="1">IFERROR(__xludf.DUMMYFUNCTION("""COMPUTED_VALUE"""),"Sydnee Dillard")</f>
        <v>Sydnee Dillard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2 Name")</f>
        <v>Rider 2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4 Name")</f>
        <v>Rider 4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 t="str">
        <f ca="1">IFERROR(__xludf.DUMMYFUNCTION("""COMPUTED_VALUE"""),"Back Number")</f>
        <v>Back Number</v>
      </c>
      <c r="Q13" s="25" t="str">
        <f ca="1">IFERROR(__xludf.DUMMYFUNCTION("""COMPUTED_VALUE"""),"Rider 5 Name")</f>
        <v>Rider 5 Name</v>
      </c>
      <c r="R13" s="25" t="str">
        <f ca="1">IFERROR(__xludf.DUMMYFUNCTION("""COMPUTED_VALUE"""),"Horse Name")</f>
        <v>Horse Name</v>
      </c>
      <c r="S13" s="25" t="str">
        <f ca="1">IFERROR(__xludf.DUMMYFUNCTION("""COMPUTED_VALUE"""),"Owner")</f>
        <v>Owner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 t="str">
        <f ca="1">IFERROR(__xludf.DUMMYFUNCTION("""COMPUTED_VALUE"""),"Back Number")</f>
        <v>Back Number</v>
      </c>
      <c r="Q14" s="25" t="str">
        <f ca="1">IFERROR(__xludf.DUMMYFUNCTION("""COMPUTED_VALUE"""),"Rider 6 Name")</f>
        <v>Rider 6 Name</v>
      </c>
      <c r="R14" s="25" t="str">
        <f ca="1">IFERROR(__xludf.DUMMYFUNCTION("""COMPUTED_VALUE"""),"Horse Name")</f>
        <v>Horse Name</v>
      </c>
      <c r="S14" s="25" t="str">
        <f ca="1">IFERROR(__xludf.DUMMYFUNCTION("""COMPUTED_VALUE"""),"Owner")</f>
        <v>Owner</v>
      </c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 x14ac:dyDescent="0.2">
      <c r="A41" s="16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5.75" customHeight="1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outlinePr summaryBelow="0" summaryRight="0"/>
    <pageSetUpPr fitToPage="1"/>
  </sheetPr>
  <dimension ref="A1:Z40"/>
  <sheetViews>
    <sheetView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5" customWidth="1"/>
    <col min="4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7.5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56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P"")"),"131")</f>
        <v>131</v>
      </c>
      <c r="B2" s="25" t="str">
        <f ca="1">IFERROR(__xludf.DUMMYFUNCTION("""COMPUTED_VALUE"""),"Andrea Crawford")</f>
        <v>Andrea Crawford</v>
      </c>
      <c r="C2" s="25" t="str">
        <f ca="1">IFERROR(__xludf.DUMMYFUNCTION("""COMPUTED_VALUE"""),"Lena's Smokin Promise")</f>
        <v>Lena's Smokin Promise</v>
      </c>
      <c r="D2" s="25" t="str">
        <f ca="1">IFERROR(__xludf.DUMMYFUNCTION("""COMPUTED_VALUE"""),"Tom Arnold")</f>
        <v>Tom Arnold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IFERROR(__xludf.DUMMYFUNCTION("""COMPUTED_VALUE"""),143)</f>
        <v>143</v>
      </c>
      <c r="Q2" s="25" t="str">
        <f ca="1">IFERROR(__xludf.DUMMYFUNCTION("""COMPUTED_VALUE"""),"Cheryl Adkins")</f>
        <v>Cheryl Adkins</v>
      </c>
      <c r="R2" s="25" t="str">
        <f ca="1">IFERROR(__xludf.DUMMYFUNCTION("""COMPUTED_VALUE"""),"GHS's By Design Only")</f>
        <v>GHS's By Design Only</v>
      </c>
      <c r="S2" s="25" t="str">
        <f ca="1">IFERROR(__xludf.DUMMYFUNCTION("""COMPUTED_VALUE"""),"Dale Chu")</f>
        <v>Dale Chu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IFERROR(__xludf.DUMMYFUNCTION("""COMPUTED_VALUE"""),"143")</f>
        <v>143</v>
      </c>
      <c r="B3" s="25" t="str">
        <f ca="1">IFERROR(__xludf.DUMMYFUNCTION("""COMPUTED_VALUE"""),"Cheryl Adkins")</f>
        <v>Cheryl Adkins</v>
      </c>
      <c r="C3" s="25" t="str">
        <f ca="1">IFERROR(__xludf.DUMMYFUNCTION("""COMPUTED_VALUE"""),"GHS's By Design Only")</f>
        <v>GHS's By Design Only</v>
      </c>
      <c r="D3" s="25" t="str">
        <f ca="1">IFERROR(__xludf.DUMMYFUNCTION("""COMPUTED_VALUE"""),"Dale Chu")</f>
        <v>Dale Chu</v>
      </c>
      <c r="E3" s="25">
        <v>3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IFERROR(__xludf.DUMMYFUNCTION("""COMPUTED_VALUE"""),487)</f>
        <v>487</v>
      </c>
      <c r="Q3" s="25" t="str">
        <f ca="1">IFERROR(__xludf.DUMMYFUNCTION("""COMPUTED_VALUE"""),"Myranda Elliott")</f>
        <v>Myranda Elliott</v>
      </c>
      <c r="R3" s="25" t="str">
        <f ca="1">IFERROR(__xludf.DUMMYFUNCTION("""COMPUTED_VALUE"""),"Something Wicked")</f>
        <v>Something Wicked</v>
      </c>
      <c r="S3" s="25" t="str">
        <f ca="1">IFERROR(__xludf.DUMMYFUNCTION("""COMPUTED_VALUE"""),"Myranda Elliott")</f>
        <v>Myranda Elliott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 t="str">
        <f ca="1">IFERROR(__xludf.DUMMYFUNCTION("""COMPUTED_VALUE"""),"245")</f>
        <v>245</v>
      </c>
      <c r="B4" s="25" t="str">
        <f ca="1">IFERROR(__xludf.DUMMYFUNCTION("""COMPUTED_VALUE"""),"Hannah Stefanic")</f>
        <v>Hannah Stefanic</v>
      </c>
      <c r="C4" s="25" t="str">
        <f ca="1">IFERROR(__xludf.DUMMYFUNCTION("""COMPUTED_VALUE"""),"VF Over The Top")</f>
        <v>VF Over The Top</v>
      </c>
      <c r="D4" s="25" t="str">
        <f ca="1">IFERROR(__xludf.DUMMYFUNCTION("""COMPUTED_VALUE"""),"Jeff &amp; Mary Ann Marrs")</f>
        <v>Jeff &amp; Mary Ann Marrs</v>
      </c>
      <c r="E4" s="25">
        <v>2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IFERROR(__xludf.DUMMYFUNCTION("""COMPUTED_VALUE"""),245)</f>
        <v>245</v>
      </c>
      <c r="Q4" s="25" t="str">
        <f ca="1">IFERROR(__xludf.DUMMYFUNCTION("""COMPUTED_VALUE"""),"Hannah Stefanic")</f>
        <v>Hannah Stefanic</v>
      </c>
      <c r="R4" s="25" t="str">
        <f ca="1">IFERROR(__xludf.DUMMYFUNCTION("""COMPUTED_VALUE"""),"VF Over The Top")</f>
        <v>VF Over The Top</v>
      </c>
      <c r="S4" s="25" t="str">
        <f ca="1">IFERROR(__xludf.DUMMYFUNCTION("""COMPUTED_VALUE"""),"Jeff &amp; Mary Ann Marrs")</f>
        <v>Jeff &amp; Mary Ann Marrs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 t="str">
        <f ca="1">IFERROR(__xludf.DUMMYFUNCTION("""COMPUTED_VALUE"""),"487")</f>
        <v>487</v>
      </c>
      <c r="B5" s="25" t="str">
        <f ca="1">IFERROR(__xludf.DUMMYFUNCTION("""COMPUTED_VALUE"""),"Myranda Elliott")</f>
        <v>Myranda Elliott</v>
      </c>
      <c r="C5" s="25" t="str">
        <f ca="1">IFERROR(__xludf.DUMMYFUNCTION("""COMPUTED_VALUE"""),"Something Wicked")</f>
        <v>Something Wicked</v>
      </c>
      <c r="D5" s="25" t="str">
        <f ca="1">IFERROR(__xludf.DUMMYFUNCTION("""COMPUTED_VALUE"""),"Myranda Elliott")</f>
        <v>Myranda Elliott</v>
      </c>
      <c r="E5" s="25">
        <v>4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IFERROR(__xludf.DUMMYFUNCTION("""COMPUTED_VALUE"""),131)</f>
        <v>131</v>
      </c>
      <c r="Q5" s="25" t="str">
        <f ca="1">IFERROR(__xludf.DUMMYFUNCTION("""COMPUTED_VALUE"""),"Andrea Crawford")</f>
        <v>Andrea Crawford</v>
      </c>
      <c r="R5" s="25" t="str">
        <f ca="1">IFERROR(__xludf.DUMMYFUNCTION("""COMPUTED_VALUE"""),"Lena's Smokin Promise")</f>
        <v>Lena's Smokin Promise</v>
      </c>
      <c r="S5" s="25" t="str">
        <f ca="1">IFERROR(__xludf.DUMMYFUNCTION("""COMPUTED_VALUE"""),"Tom Arnold")</f>
        <v>Tom Arnold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2 Name")</f>
        <v>Rider 2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4 Name")</f>
        <v>Rider 4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5 Name")</f>
        <v>Rider 5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6 Name")</f>
        <v>Rider 6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outlinePr summaryBelow="0" summaryRight="0"/>
    <pageSetUpPr fitToPage="1"/>
  </sheetPr>
  <dimension ref="A1:Z998"/>
  <sheetViews>
    <sheetView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0.28515625" customWidth="1"/>
    <col min="4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6.6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204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 t="str">
        <f ca="1">IFERROR(__xludf.DUMMYFUNCTION("""COMPUTED_VALUE"""),"Back Number")</f>
        <v>Back Number</v>
      </c>
      <c r="Q2" s="25" t="str">
        <f ca="1">IFERROR(__xludf.DUMMYFUNCTION("""COMPUTED_VALUE"""),"Rider 2 Name")</f>
        <v>Rider 2 Name</v>
      </c>
      <c r="R2" s="25" t="str">
        <f ca="1">IFERROR(__xludf.DUMMYFUNCTION("""COMPUTED_VALUE"""),"Horse Name")</f>
        <v>Horse Name</v>
      </c>
      <c r="S2" s="25" t="str">
        <f ca="1">IFERROR(__xludf.DUMMYFUNCTION("""COMPUTED_VALUE"""),"Owner")</f>
        <v>Owner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 t="str">
        <f ca="1">IFERROR(__xludf.DUMMYFUNCTION("""COMPUTED_VALUE"""),"806")</f>
        <v>806</v>
      </c>
      <c r="B3" s="25" t="str">
        <f ca="1">IFERROR(__xludf.DUMMYFUNCTION("""COMPUTED_VALUE"""),"Olivia Warner")</f>
        <v>Olivia Warner</v>
      </c>
      <c r="C3" s="25" t="str">
        <f ca="1">IFERROR(__xludf.DUMMYFUNCTION("""COMPUTED_VALUE"""),"She's All Mine")</f>
        <v>She's All Mine</v>
      </c>
      <c r="D3" s="25" t="str">
        <f ca="1">IFERROR(__xludf.DUMMYFUNCTION("""COMPUTED_VALUE"""),"Brenda Watson")</f>
        <v>Brenda Watson</v>
      </c>
      <c r="E3" s="25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IFERROR(__xludf.DUMMYFUNCTION("""COMPUTED_VALUE"""),913)</f>
        <v>913</v>
      </c>
      <c r="Q3" s="25" t="str">
        <f ca="1">IFERROR(__xludf.DUMMYFUNCTION("""COMPUTED_VALUE"""),"Olivia Hall")</f>
        <v>Olivia Hall</v>
      </c>
      <c r="R3" s="25" t="str">
        <f ca="1">IFERROR(__xludf.DUMMYFUNCTION("""COMPUTED_VALUE"""),"Obviously an Heiress")</f>
        <v>Obviously an Heiress</v>
      </c>
      <c r="S3" s="25" t="str">
        <f ca="1">IFERROR(__xludf.DUMMYFUNCTION("""COMPUTED_VALUE"""),"Jennifer Flannery-Hall")</f>
        <v>Jennifer Flannery-Hall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 t="str">
        <f ca="1">IFERROR(__xludf.DUMMYFUNCTION("""COMPUTED_VALUE"""),"913")</f>
        <v>913</v>
      </c>
      <c r="B4" s="25" t="str">
        <f ca="1">IFERROR(__xludf.DUMMYFUNCTION("""COMPUTED_VALUE"""),"Olivia Hall")</f>
        <v>Olivia Hall</v>
      </c>
      <c r="C4" s="25" t="str">
        <f ca="1">IFERROR(__xludf.DUMMYFUNCTION("""COMPUTED_VALUE"""),"Obviously an Heiress")</f>
        <v>Obviously an Heiress</v>
      </c>
      <c r="D4" s="25" t="str">
        <f ca="1">IFERROR(__xludf.DUMMYFUNCTION("""COMPUTED_VALUE"""),"Jennifer Flannery-Hall")</f>
        <v>Jennifer Flannery-Hall</v>
      </c>
      <c r="E4" s="25">
        <v>1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IFERROR(__xludf.DUMMYFUNCTION("""COMPUTED_VALUE"""),917)</f>
        <v>917</v>
      </c>
      <c r="Q4" s="25" t="str">
        <f ca="1">IFERROR(__xludf.DUMMYFUNCTION("""COMPUTED_VALUE"""),"Ruby DeAtley")</f>
        <v>Ruby DeAtley</v>
      </c>
      <c r="R4" s="25" t="str">
        <f ca="1">IFERROR(__xludf.DUMMYFUNCTION("""COMPUTED_VALUE"""),"WOF's Wind Commander")</f>
        <v>WOF's Wind Commander</v>
      </c>
      <c r="S4" s="25" t="str">
        <f ca="1">IFERROR(__xludf.DUMMYFUNCTION("""COMPUTED_VALUE"""),"Ann Day")</f>
        <v>Ann Day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 t="str">
        <f ca="1">IFERROR(__xludf.DUMMYFUNCTION("""COMPUTED_VALUE"""),"917")</f>
        <v>917</v>
      </c>
      <c r="B5" s="25" t="str">
        <f ca="1">IFERROR(__xludf.DUMMYFUNCTION("""COMPUTED_VALUE"""),"Ruby DeAtley")</f>
        <v>Ruby DeAtley</v>
      </c>
      <c r="C5" s="25" t="str">
        <f ca="1">IFERROR(__xludf.DUMMYFUNCTION("""COMPUTED_VALUE"""),"WOF's Wind Commander")</f>
        <v>WOF's Wind Commander</v>
      </c>
      <c r="D5" s="25" t="str">
        <f ca="1">IFERROR(__xludf.DUMMYFUNCTION("""COMPUTED_VALUE"""),"Ann Day")</f>
        <v>Ann Day</v>
      </c>
      <c r="E5" s="25">
        <v>3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IFERROR(__xludf.DUMMYFUNCTION("""COMPUTED_VALUE"""),806)</f>
        <v>806</v>
      </c>
      <c r="Q5" s="25" t="str">
        <f ca="1">IFERROR(__xludf.DUMMYFUNCTION("""COMPUTED_VALUE"""),"Olivia Warner")</f>
        <v>Olivia Warner</v>
      </c>
      <c r="R5" s="25" t="str">
        <f ca="1">IFERROR(__xludf.DUMMYFUNCTION("""COMPUTED_VALUE"""),"She's All Mine")</f>
        <v>She's All Mine</v>
      </c>
      <c r="S5" s="25" t="str">
        <f ca="1">IFERROR(__xludf.DUMMYFUNCTION("""COMPUTED_VALUE"""),"Brenda Watson")</f>
        <v>Brenda Watson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3 Name")</f>
        <v>Rider 3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5 Name")</f>
        <v>Rider 5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6 Name")</f>
        <v>Rider 6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 x14ac:dyDescent="0.2">
      <c r="A41" s="16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5.75" customHeight="1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outlinePr summaryBelow="0" summaryRight="0"/>
    <pageSetUpPr fitToPage="1"/>
  </sheetPr>
  <dimension ref="A1:Z40"/>
  <sheetViews>
    <sheetView workbookViewId="0">
      <selection activeCell="N2" sqref="N2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27.6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205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P"")"),"#N/A")</f>
        <v>#N/A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 t="str">
        <f ca="1">IFERROR(__xludf.DUMMYFUNCTION("""COMPUTED_VALUE"""),"Back Number")</f>
        <v>Back Number</v>
      </c>
      <c r="Q2" s="25" t="str">
        <f ca="1">IFERROR(__xludf.DUMMYFUNCTION("""COMPUTED_VALUE"""),"Rider 2 Name")</f>
        <v>Rider 2 Name</v>
      </c>
      <c r="R2" s="25" t="str">
        <f ca="1">IFERROR(__xludf.DUMMYFUNCTION("""COMPUTED_VALUE"""),"Horse Name")</f>
        <v>Horse Name</v>
      </c>
      <c r="S2" s="25" t="str">
        <f ca="1">IFERROR(__xludf.DUMMYFUNCTION("""COMPUTED_VALUE"""),"Owner")</f>
        <v>Owner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IFERROR(__xludf.DUMMYFUNCTION("""COMPUTED_VALUE"""),"Rider 3 Name")</f>
        <v>Rider 3 Name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5 Name")</f>
        <v>Rider 5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6 Name")</f>
        <v>Rider 6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>
        <v>0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outlinePr summaryBelow="0" summaryRight="0"/>
    <pageSetUpPr fitToPage="1"/>
  </sheetPr>
  <dimension ref="A1:Z40"/>
  <sheetViews>
    <sheetView topLeftCell="B1"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2" customWidth="1"/>
    <col min="4" max="4" width="39.28515625" customWidth="1"/>
    <col min="5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29.1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79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P"")"),"709")</f>
        <v>709</v>
      </c>
      <c r="B2" s="25" t="str">
        <f ca="1">IFERROR(__xludf.DUMMYFUNCTION("""COMPUTED_VALUE"""),"Rebecca Maggard")</f>
        <v>Rebecca Maggard</v>
      </c>
      <c r="C2" s="25" t="str">
        <f ca="1">IFERROR(__xludf.DUMMYFUNCTION("""COMPUTED_VALUE"""),"TM's Prince Elixir")</f>
        <v>TM's Prince Elixir</v>
      </c>
      <c r="D2" s="25" t="str">
        <f ca="1">IFERROR(__xludf.DUMMYFUNCTION("""COMPUTED_VALUE"""),"Rebecca &amp; Robbie Maggard")</f>
        <v>Rebecca &amp; Robbie Maggard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IFERROR(__xludf.DUMMYFUNCTION("""COMPUTED_VALUE"""),709)</f>
        <v>709</v>
      </c>
      <c r="Q2" s="25" t="str">
        <f ca="1">IFERROR(__xludf.DUMMYFUNCTION("""COMPUTED_VALUE"""),"Rebecca Maggard")</f>
        <v>Rebecca Maggard</v>
      </c>
      <c r="R2" s="25" t="str">
        <f ca="1">IFERROR(__xludf.DUMMYFUNCTION("""COMPUTED_VALUE"""),"TM's Prince Elixir")</f>
        <v>TM's Prince Elixir</v>
      </c>
      <c r="S2" s="25" t="str">
        <f ca="1">IFERROR(__xludf.DUMMYFUNCTION("""COMPUTED_VALUE"""),"Rebecca &amp; Robbie Maggard")</f>
        <v>Rebecca &amp; Robbie Maggard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 t="str">
        <f ca="1">IFERROR(__xludf.DUMMYFUNCTION("""COMPUTED_VALUE"""),"Back Number")</f>
        <v>Back Number</v>
      </c>
      <c r="Q3" s="25" t="str">
        <f ca="1">IFERROR(__xludf.DUMMYFUNCTION("""COMPUTED_VALUE"""),"Rider 2 Name")</f>
        <v>Rider 2 Name</v>
      </c>
      <c r="R3" s="25" t="str">
        <f ca="1">IFERROR(__xludf.DUMMYFUNCTION("""COMPUTED_VALUE"""),"Horse Name")</f>
        <v>Horse Name</v>
      </c>
      <c r="S3" s="25" t="str">
        <f ca="1">IFERROR(__xludf.DUMMYFUNCTION("""COMPUTED_VALUE"""),"Owner")</f>
        <v>Owner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4 Name")</f>
        <v>Rider 4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5 Name")</f>
        <v>Rider 5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6 Name")</f>
        <v>Rider 6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outlinePr summaryBelow="0" summaryRight="0"/>
    <pageSetUpPr fitToPage="1"/>
  </sheetPr>
  <dimension ref="A1:Z997"/>
  <sheetViews>
    <sheetView topLeftCell="B1"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9.42578125" customWidth="1"/>
    <col min="4" max="4" width="27.85546875" customWidth="1"/>
    <col min="5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9.6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54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IFERROR(__xludf.DUMMYFUNCTION("QUERY(P2:S999,""SELECT * WHERE R IS NOT NULL AND R !='Horse Name' Order By P"")"),81)</f>
        <v>81</v>
      </c>
      <c r="B2" s="25" t="str">
        <f ca="1">IFERROR(__xludf.DUMMYFUNCTION("""COMPUTED_VALUE"""),"Greg Brewer")</f>
        <v>Greg Brewer</v>
      </c>
      <c r="C2" s="25" t="str">
        <f ca="1">IFERROR(__xludf.DUMMYFUNCTION("""COMPUTED_VALUE"""),"KJ’S Covington Steele")</f>
        <v>KJ’S Covington Steele</v>
      </c>
      <c r="D2" s="25" t="str">
        <f ca="1">IFERROR(__xludf.DUMMYFUNCTION("""COMPUTED_VALUE"""),"Keith Johnson")</f>
        <v>Keith Johnson</v>
      </c>
      <c r="E2" s="25">
        <v>3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IFERROR(__xludf.DUMMYFUNCTION("""COMPUTED_VALUE"""),777)</f>
        <v>777</v>
      </c>
      <c r="Q2" s="25" t="str">
        <f ca="1">IFERROR(__xludf.DUMMYFUNCTION("""COMPUTED_VALUE"""),"Peg Edwards")</f>
        <v>Peg Edwards</v>
      </c>
      <c r="R2" s="25" t="str">
        <f ca="1">IFERROR(__xludf.DUMMYFUNCTION("""COMPUTED_VALUE"""),"Paco's Master Piece")</f>
        <v>Paco's Master Piece</v>
      </c>
      <c r="S2" s="25" t="str">
        <f ca="1">IFERROR(__xludf.DUMMYFUNCTION("""COMPUTED_VALUE"""),"Peg Edwards")</f>
        <v>Peg Edwards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IFERROR(__xludf.DUMMYFUNCTION("""COMPUTED_VALUE"""),375)</f>
        <v>375</v>
      </c>
      <c r="B3" s="25" t="str">
        <f ca="1">IFERROR(__xludf.DUMMYFUNCTION("""COMPUTED_VALUE"""),"Charlie DeAtley ")</f>
        <v xml:space="preserve">Charlie DeAtley </v>
      </c>
      <c r="C3" s="25" t="str">
        <f ca="1">IFERROR(__xludf.DUMMYFUNCTION("""COMPUTED_VALUE"""),"Red Rivet Diamond ")</f>
        <v xml:space="preserve">Red Rivet Diamond </v>
      </c>
      <c r="D3" s="25" t="str">
        <f ca="1">IFERROR(__xludf.DUMMYFUNCTION("""COMPUTED_VALUE"""),"Julia Tracker ")</f>
        <v xml:space="preserve">Julia Tracker </v>
      </c>
      <c r="E3" s="25">
        <v>6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IFERROR(__xludf.DUMMYFUNCTION("""COMPUTED_VALUE"""),624)</f>
        <v>624</v>
      </c>
      <c r="Q3" s="25" t="str">
        <f ca="1">IFERROR(__xludf.DUMMYFUNCTION("""COMPUTED_VALUE"""),"McKayla Hill")</f>
        <v>McKayla Hill</v>
      </c>
      <c r="R3" s="25" t="str">
        <f ca="1">IFERROR(__xludf.DUMMYFUNCTION("""COMPUTED_VALUE"""),"DNS Turbo Charge")</f>
        <v>DNS Turbo Charge</v>
      </c>
      <c r="S3" s="25" t="str">
        <f ca="1">IFERROR(__xludf.DUMMYFUNCTION("""COMPUTED_VALUE"""),"Nicole Jones")</f>
        <v>Nicole Jones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IFERROR(__xludf.DUMMYFUNCTION("""COMPUTED_VALUE"""),534)</f>
        <v>534</v>
      </c>
      <c r="B4" s="25" t="str">
        <f ca="1">IFERROR(__xludf.DUMMYFUNCTION("""COMPUTED_VALUE"""),"Jennifer Flannery-Hall")</f>
        <v>Jennifer Flannery-Hall</v>
      </c>
      <c r="C4" s="25" t="str">
        <f ca="1">IFERROR(__xludf.DUMMYFUNCTION("""COMPUTED_VALUE"""),"Motion's Legacy")</f>
        <v>Motion's Legacy</v>
      </c>
      <c r="D4" s="25" t="str">
        <f ca="1">IFERROR(__xludf.DUMMYFUNCTION("""COMPUTED_VALUE"""),"Jennifer Flannery-Hall")</f>
        <v>Jennifer Flannery-Hall</v>
      </c>
      <c r="E4" s="25">
        <v>2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IFERROR(__xludf.DUMMYFUNCTION("""COMPUTED_VALUE"""),811)</f>
        <v>811</v>
      </c>
      <c r="Q4" s="25" t="str">
        <f ca="1">IFERROR(__xludf.DUMMYFUNCTION("""COMPUTED_VALUE"""),"Shaun Lyon")</f>
        <v>Shaun Lyon</v>
      </c>
      <c r="R4" s="25" t="str">
        <f ca="1">IFERROR(__xludf.DUMMYFUNCTION("""COMPUTED_VALUE"""),"GMH Justified")</f>
        <v>GMH Justified</v>
      </c>
      <c r="S4" s="25" t="str">
        <f ca="1">IFERROR(__xludf.DUMMYFUNCTION("""COMPUTED_VALUE"""),"Baylee Fowler")</f>
        <v>Baylee Fowler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IFERROR(__xludf.DUMMYFUNCTION("""COMPUTED_VALUE"""),624)</f>
        <v>624</v>
      </c>
      <c r="B5" s="25" t="str">
        <f ca="1">IFERROR(__xludf.DUMMYFUNCTION("""COMPUTED_VALUE"""),"McKayla Hill")</f>
        <v>McKayla Hill</v>
      </c>
      <c r="C5" s="25" t="str">
        <f ca="1">IFERROR(__xludf.DUMMYFUNCTION("""COMPUTED_VALUE"""),"DNS Turbo Charge")</f>
        <v>DNS Turbo Charge</v>
      </c>
      <c r="D5" s="25" t="str">
        <f ca="1">IFERROR(__xludf.DUMMYFUNCTION("""COMPUTED_VALUE"""),"Nicole Jones")</f>
        <v>Nicole Jones</v>
      </c>
      <c r="E5" s="25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IFERROR(__xludf.DUMMYFUNCTION("""COMPUTED_VALUE"""),814)</f>
        <v>814</v>
      </c>
      <c r="Q5" s="25" t="str">
        <f ca="1">IFERROR(__xludf.DUMMYFUNCTION("""COMPUTED_VALUE"""),"James Grigsby")</f>
        <v>James Grigsby</v>
      </c>
      <c r="R5" s="25" t="str">
        <f ca="1">IFERROR(__xludf.DUMMYFUNCTION("""COMPUTED_VALUE"""),"Jesse's Pride")</f>
        <v>Jesse's Pride</v>
      </c>
      <c r="S5" s="25" t="str">
        <f ca="1">IFERROR(__xludf.DUMMYFUNCTION("""COMPUTED_VALUE"""),"Johhny Hensley")</f>
        <v>Johhny Hensley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IFERROR(__xludf.DUMMYFUNCTION("""COMPUTED_VALUE"""),643)</f>
        <v>643</v>
      </c>
      <c r="B6" s="25" t="str">
        <f ca="1">IFERROR(__xludf.DUMMYFUNCTION("""COMPUTED_VALUE"""),"Amy Stefanic ")</f>
        <v xml:space="preserve">Amy Stefanic </v>
      </c>
      <c r="C6" s="25" t="str">
        <f ca="1">IFERROR(__xludf.DUMMYFUNCTION("""COMPUTED_VALUE"""),"GNF Mr Sophisticated ")</f>
        <v xml:space="preserve">GNF Mr Sophisticated </v>
      </c>
      <c r="D6" s="25" t="str">
        <f ca="1">IFERROR(__xludf.DUMMYFUNCTION("""COMPUTED_VALUE"""),"Jeff + Mary AnnMarrs")</f>
        <v>Jeff + Mary AnnMarrs</v>
      </c>
      <c r="E6" s="25">
        <v>4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IFERROR(__xludf.DUMMYFUNCTION("""COMPUTED_VALUE"""),245)</f>
        <v>245</v>
      </c>
      <c r="Q6" s="25" t="str">
        <f ca="1">IFERROR(__xludf.DUMMYFUNCTION("""COMPUTED_VALUE"""),"Hannah Stefanic")</f>
        <v>Hannah Stefanic</v>
      </c>
      <c r="R6" s="25" t="str">
        <f ca="1">IFERROR(__xludf.DUMMYFUNCTION("""COMPUTED_VALUE"""),"VF Over The Top")</f>
        <v>VF Over The Top</v>
      </c>
      <c r="S6" s="25" t="str">
        <f ca="1">IFERROR(__xludf.DUMMYFUNCTION("""COMPUTED_VALUE"""),"Jeff &amp; Mary Ann Marrs")</f>
        <v>Jeff &amp; Mary Ann Marrs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IFERROR(__xludf.DUMMYFUNCTION("""COMPUTED_VALUE"""),777)</f>
        <v>777</v>
      </c>
      <c r="B7" s="25" t="str">
        <f ca="1">IFERROR(__xludf.DUMMYFUNCTION("""COMPUTED_VALUE"""),"Peg Edwards")</f>
        <v>Peg Edwards</v>
      </c>
      <c r="C7" s="25" t="str">
        <f ca="1">IFERROR(__xludf.DUMMYFUNCTION("""COMPUTED_VALUE"""),"Paco's Master Piece")</f>
        <v>Paco's Master Piece</v>
      </c>
      <c r="D7" s="25" t="str">
        <f ca="1">IFERROR(__xludf.DUMMYFUNCTION("""COMPUTED_VALUE"""),"Peg Edwards")</f>
        <v>Peg Edwards</v>
      </c>
      <c r="E7" s="25">
        <v>7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IFERROR(__xludf.DUMMYFUNCTION("""COMPUTED_VALUE"""),643)</f>
        <v>643</v>
      </c>
      <c r="Q7" s="25" t="str">
        <f ca="1">IFERROR(__xludf.DUMMYFUNCTION("""COMPUTED_VALUE"""),"Amy Stefanic ")</f>
        <v xml:space="preserve">Amy Stefanic </v>
      </c>
      <c r="R7" s="25" t="str">
        <f ca="1">IFERROR(__xludf.DUMMYFUNCTION("""COMPUTED_VALUE"""),"GNF Mr Sophisticated ")</f>
        <v xml:space="preserve">GNF Mr Sophisticated </v>
      </c>
      <c r="S7" s="25" t="str">
        <f ca="1">IFERROR(__xludf.DUMMYFUNCTION("""COMPUTED_VALUE"""),"Jeff + Mary AnnMarrs")</f>
        <v>Jeff + Mary AnnMarrs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>
        <f ca="1">IFERROR(__xludf.DUMMYFUNCTION("""COMPUTED_VALUE"""),811)</f>
        <v>811</v>
      </c>
      <c r="B8" s="25" t="str">
        <f ca="1">IFERROR(__xludf.DUMMYFUNCTION("""COMPUTED_VALUE"""),"Shaun Lyon")</f>
        <v>Shaun Lyon</v>
      </c>
      <c r="C8" s="25" t="str">
        <f ca="1">IFERROR(__xludf.DUMMYFUNCTION("""COMPUTED_VALUE"""),"GMH Justified")</f>
        <v>GMH Justified</v>
      </c>
      <c r="D8" s="25" t="str">
        <f ca="1">IFERROR(__xludf.DUMMYFUNCTION("""COMPUTED_VALUE"""),"Baylee Fowler")</f>
        <v>Baylee Fowler</v>
      </c>
      <c r="E8" s="25">
        <v>5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IFERROR(__xludf.DUMMYFUNCTION("""COMPUTED_VALUE"""),375)</f>
        <v>375</v>
      </c>
      <c r="Q8" s="25" t="str">
        <f ca="1">IFERROR(__xludf.DUMMYFUNCTION("""COMPUTED_VALUE"""),"Charlie DeAtley ")</f>
        <v xml:space="preserve">Charlie DeAtley </v>
      </c>
      <c r="R8" s="25" t="str">
        <f ca="1">IFERROR(__xludf.DUMMYFUNCTION("""COMPUTED_VALUE"""),"Red Rivet Diamond ")</f>
        <v xml:space="preserve">Red Rivet Diamond </v>
      </c>
      <c r="S8" s="25" t="str">
        <f ca="1">IFERROR(__xludf.DUMMYFUNCTION("""COMPUTED_VALUE"""),"Julia Tracker ")</f>
        <v xml:space="preserve">Julia Tracker 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>
        <f ca="1">IFERROR(__xludf.DUMMYFUNCTION("""COMPUTED_VALUE"""),814)</f>
        <v>814</v>
      </c>
      <c r="B9" s="25" t="str">
        <f ca="1">IFERROR(__xludf.DUMMYFUNCTION("""COMPUTED_VALUE"""),"James Grigsby")</f>
        <v>James Grigsby</v>
      </c>
      <c r="C9" s="25" t="str">
        <f ca="1">IFERROR(__xludf.DUMMYFUNCTION("""COMPUTED_VALUE"""),"Jesse's Pride")</f>
        <v>Jesse's Pride</v>
      </c>
      <c r="D9" s="25" t="str">
        <f ca="1">IFERROR(__xludf.DUMMYFUNCTION("""COMPUTED_VALUE"""),"Johhny Hensley")</f>
        <v>Johhny Hensley</v>
      </c>
      <c r="E9" s="25">
        <v>8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IFERROR(__xludf.DUMMYFUNCTION("""COMPUTED_VALUE"""),81)</f>
        <v>81</v>
      </c>
      <c r="Q9" s="25" t="str">
        <f ca="1">IFERROR(__xludf.DUMMYFUNCTION("""COMPUTED_VALUE"""),"Greg Brewer")</f>
        <v>Greg Brewer</v>
      </c>
      <c r="R9" s="25" t="str">
        <f ca="1">IFERROR(__xludf.DUMMYFUNCTION("""COMPUTED_VALUE"""),"KJ’S Covington Steele")</f>
        <v>KJ’S Covington Steele</v>
      </c>
      <c r="S9" s="25" t="str">
        <f ca="1">IFERROR(__xludf.DUMMYFUNCTION("""COMPUTED_VALUE"""),"Keith Johnson")</f>
        <v>Keith Johnson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2 Name")</f>
        <v>Rider 2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4 Name")</f>
        <v>Rider 4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5 Name")</f>
        <v>Rider 5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 t="str">
        <f ca="1">IFERROR(__xludf.DUMMYFUNCTION("""COMPUTED_VALUE"""),"Back Number")</f>
        <v>Back Number</v>
      </c>
      <c r="Q13" s="25" t="str">
        <f ca="1">IFERROR(__xludf.DUMMYFUNCTION("""COMPUTED_VALUE"""),"Rider 6 Name")</f>
        <v>Rider 6 Name</v>
      </c>
      <c r="R13" s="25" t="str">
        <f ca="1">IFERROR(__xludf.DUMMYFUNCTION("""COMPUTED_VALUE"""),"Horse Name")</f>
        <v>Horse Name</v>
      </c>
      <c r="S13" s="25" t="str">
        <f ca="1">IFERROR(__xludf.DUMMYFUNCTION("""COMPUTED_VALUE"""),"Owner")</f>
        <v>Owner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">
      <c r="A40" s="16"/>
    </row>
    <row r="41" spans="1:26" ht="15.75" customHeight="1" x14ac:dyDescent="0.2">
      <c r="A41" s="16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2.75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outlinePr summaryBelow="0" summaryRight="0"/>
    <pageSetUpPr fitToPage="1"/>
  </sheetPr>
  <dimension ref="A1:Z998"/>
  <sheetViews>
    <sheetView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3" customWidth="1"/>
    <col min="4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2.1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73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IFERROR(__xludf.DUMMYFUNCTION("QUERY(P2:S999,""SELECT * WHERE R IS NOT NULL AND R !='Horse Name' Order By P"")"),187)</f>
        <v>187</v>
      </c>
      <c r="B2" s="25" t="str">
        <f ca="1">IFERROR(__xludf.DUMMYFUNCTION("""COMPUTED_VALUE"""),"Morgan Stumbo")</f>
        <v>Morgan Stumbo</v>
      </c>
      <c r="C2" s="25" t="str">
        <f ca="1">IFERROR(__xludf.DUMMYFUNCTION("""COMPUTED_VALUE"""),"Spirit's Wild Card")</f>
        <v>Spirit's Wild Card</v>
      </c>
      <c r="D2" s="25" t="str">
        <f ca="1">IFERROR(__xludf.DUMMYFUNCTION("""COMPUTED_VALUE"""),"Morgan Stumbo")</f>
        <v>Morgan Stumbo</v>
      </c>
      <c r="E2" s="25">
        <v>5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IFERROR(__xludf.DUMMYFUNCTION("""COMPUTED_VALUE"""),808)</f>
        <v>808</v>
      </c>
      <c r="Q2" s="25" t="str">
        <f ca="1">IFERROR(__xludf.DUMMYFUNCTION("""COMPUTED_VALUE"""),"Shelby Weckerly")</f>
        <v>Shelby Weckerly</v>
      </c>
      <c r="R2" s="25" t="str">
        <f ca="1">IFERROR(__xludf.DUMMYFUNCTION("""COMPUTED_VALUE"""),"HPF Bulletproofs Bluesteel")</f>
        <v>HPF Bulletproofs Bluesteel</v>
      </c>
      <c r="S2" s="25" t="str">
        <f ca="1">IFERROR(__xludf.DUMMYFUNCTION("""COMPUTED_VALUE"""),"Shelby Weckerly")</f>
        <v>Shelby Weckerly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IFERROR(__xludf.DUMMYFUNCTION("""COMPUTED_VALUE"""),210)</f>
        <v>210</v>
      </c>
      <c r="B3" s="25" t="str">
        <f ca="1">IFERROR(__xludf.DUMMYFUNCTION("""COMPUTED_VALUE"""),"Andrea Crawford")</f>
        <v>Andrea Crawford</v>
      </c>
      <c r="C3" s="25" t="str">
        <f ca="1">IFERROR(__xludf.DUMMYFUNCTION("""COMPUTED_VALUE"""),"Smokey Joe's Annabelle")</f>
        <v>Smokey Joe's Annabelle</v>
      </c>
      <c r="D3" s="25" t="str">
        <f ca="1">IFERROR(__xludf.DUMMYFUNCTION("""COMPUTED_VALUE"""),"Candy Brinegar")</f>
        <v>Candy Brinegar</v>
      </c>
      <c r="E3" s="25">
        <v>3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IFERROR(__xludf.DUMMYFUNCTION("""COMPUTED_VALUE"""),920)</f>
        <v>920</v>
      </c>
      <c r="Q3" s="25" t="str">
        <f ca="1">IFERROR(__xludf.DUMMYFUNCTION("""COMPUTED_VALUE"""),"Derek Vance")</f>
        <v>Derek Vance</v>
      </c>
      <c r="R3" s="25" t="str">
        <f ca="1">IFERROR(__xludf.DUMMYFUNCTION("""COMPUTED_VALUE"""),"HMH Secrets N the Moonlight")</f>
        <v>HMH Secrets N the Moonlight</v>
      </c>
      <c r="S3" s="25" t="str">
        <f ca="1">IFERROR(__xludf.DUMMYFUNCTION("""COMPUTED_VALUE"""),"Derek Vance")</f>
        <v>Derek Vance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IFERROR(__xludf.DUMMYFUNCTION("""COMPUTED_VALUE"""),314)</f>
        <v>314</v>
      </c>
      <c r="B4" s="25" t="str">
        <f ca="1">IFERROR(__xludf.DUMMYFUNCTION("""COMPUTED_VALUE"""),"Ragan Adkins")</f>
        <v>Ragan Adkins</v>
      </c>
      <c r="C4" s="25" t="str">
        <f ca="1">IFERROR(__xludf.DUMMYFUNCTION("""COMPUTED_VALUE"""),"HF's Jack Black")</f>
        <v>HF's Jack Black</v>
      </c>
      <c r="D4" s="25" t="str">
        <f ca="1">IFERROR(__xludf.DUMMYFUNCTION("""COMPUTED_VALUE"""),"Charity Burton")</f>
        <v>Charity Burton</v>
      </c>
      <c r="E4" s="25">
        <v>7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IFERROR(__xludf.DUMMYFUNCTION("""COMPUTED_VALUE"""),913)</f>
        <v>913</v>
      </c>
      <c r="Q4" s="25" t="str">
        <f ca="1">IFERROR(__xludf.DUMMYFUNCTION("""COMPUTED_VALUE"""),"Jennifer Flannery-Hall")</f>
        <v>Jennifer Flannery-Hall</v>
      </c>
      <c r="R4" s="25" t="str">
        <f ca="1">IFERROR(__xludf.DUMMYFUNCTION("""COMPUTED_VALUE"""),"Obviously an Heiress")</f>
        <v>Obviously an Heiress</v>
      </c>
      <c r="S4" s="25" t="str">
        <f ca="1">IFERROR(__xludf.DUMMYFUNCTION("""COMPUTED_VALUE"""),"Jennifer Flannery-Hall")</f>
        <v>Jennifer Flannery-Hall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IFERROR(__xludf.DUMMYFUNCTION("""COMPUTED_VALUE"""),620)</f>
        <v>620</v>
      </c>
      <c r="B5" s="25" t="str">
        <f ca="1">IFERROR(__xludf.DUMMYFUNCTION("""COMPUTED_VALUE"""),"Sharma Brown")</f>
        <v>Sharma Brown</v>
      </c>
      <c r="C5" s="25" t="str">
        <f ca="1">IFERROR(__xludf.DUMMYFUNCTION("""COMPUTED_VALUE"""),"RHF Windswept")</f>
        <v>RHF Windswept</v>
      </c>
      <c r="D5" s="25" t="str">
        <f ca="1">IFERROR(__xludf.DUMMYFUNCTION("""COMPUTED_VALUE"""),"Sharma Brown")</f>
        <v>Sharma Brown</v>
      </c>
      <c r="E5" s="25">
        <v>8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IFERROR(__xludf.DUMMYFUNCTION("""COMPUTED_VALUE"""),796)</f>
        <v>796</v>
      </c>
      <c r="Q5" s="25" t="str">
        <f ca="1">IFERROR(__xludf.DUMMYFUNCTION("""COMPUTED_VALUE"""),"Cole Compton")</f>
        <v>Cole Compton</v>
      </c>
      <c r="R5" s="25" t="str">
        <f ca="1">IFERROR(__xludf.DUMMYFUNCTION("""COMPUTED_VALUE"""),"GHS's I'm on Holiday")</f>
        <v>GHS's I'm on Holiday</v>
      </c>
      <c r="S5" s="25" t="str">
        <f ca="1">IFERROR(__xludf.DUMMYFUNCTION("""COMPUTED_VALUE"""),"Cole Compton")</f>
        <v>Cole Compton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IFERROR(__xludf.DUMMYFUNCTION("""COMPUTED_VALUE"""),639)</f>
        <v>639</v>
      </c>
      <c r="B6" s="25" t="str">
        <f ca="1">IFERROR(__xludf.DUMMYFUNCTION("""COMPUTED_VALUE"""),"Peyton Gabbard")</f>
        <v>Peyton Gabbard</v>
      </c>
      <c r="C6" s="25" t="str">
        <f ca="1">IFERROR(__xludf.DUMMYFUNCTION("""COMPUTED_VALUE"""),"Pap'o Ole Charlie")</f>
        <v>Pap'o Ole Charlie</v>
      </c>
      <c r="D6" s="25" t="str">
        <f ca="1">IFERROR(__xludf.DUMMYFUNCTION("""COMPUTED_VALUE"""),"Peyton Gabbard")</f>
        <v>Peyton Gabbard</v>
      </c>
      <c r="E6" s="25">
        <v>10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IFERROR(__xludf.DUMMYFUNCTION("""COMPUTED_VALUE"""),620)</f>
        <v>620</v>
      </c>
      <c r="Q6" s="25" t="str">
        <f ca="1">IFERROR(__xludf.DUMMYFUNCTION("""COMPUTED_VALUE"""),"Sharma Brown")</f>
        <v>Sharma Brown</v>
      </c>
      <c r="R6" s="25" t="str">
        <f ca="1">IFERROR(__xludf.DUMMYFUNCTION("""COMPUTED_VALUE"""),"RHF Windswept")</f>
        <v>RHF Windswept</v>
      </c>
      <c r="S6" s="25" t="str">
        <f ca="1">IFERROR(__xludf.DUMMYFUNCTION("""COMPUTED_VALUE"""),"Sharma Brown")</f>
        <v>Sharma Brown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IFERROR(__xludf.DUMMYFUNCTION("""COMPUTED_VALUE"""),796)</f>
        <v>796</v>
      </c>
      <c r="B7" s="25" t="str">
        <f ca="1">IFERROR(__xludf.DUMMYFUNCTION("""COMPUTED_VALUE"""),"Cole Compton")</f>
        <v>Cole Compton</v>
      </c>
      <c r="C7" s="25" t="str">
        <f ca="1">IFERROR(__xludf.DUMMYFUNCTION("""COMPUTED_VALUE"""),"GHS's I'm on Holiday")</f>
        <v>GHS's I'm on Holiday</v>
      </c>
      <c r="D7" s="25" t="str">
        <f ca="1">IFERROR(__xludf.DUMMYFUNCTION("""COMPUTED_VALUE"""),"Cole Compton")</f>
        <v>Cole Compton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IFERROR(__xludf.DUMMYFUNCTION("""COMPUTED_VALUE"""),187)</f>
        <v>187</v>
      </c>
      <c r="Q7" s="25" t="str">
        <f ca="1">IFERROR(__xludf.DUMMYFUNCTION("""COMPUTED_VALUE"""),"Morgan Stumbo")</f>
        <v>Morgan Stumbo</v>
      </c>
      <c r="R7" s="25" t="str">
        <f ca="1">IFERROR(__xludf.DUMMYFUNCTION("""COMPUTED_VALUE"""),"Spirit's Wild Card")</f>
        <v>Spirit's Wild Card</v>
      </c>
      <c r="S7" s="25" t="str">
        <f ca="1">IFERROR(__xludf.DUMMYFUNCTION("""COMPUTED_VALUE"""),"Morgan Stumbo")</f>
        <v>Morgan Stumbo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>
        <f ca="1">IFERROR(__xludf.DUMMYFUNCTION("""COMPUTED_VALUE"""),808)</f>
        <v>808</v>
      </c>
      <c r="B8" s="25" t="str">
        <f ca="1">IFERROR(__xludf.DUMMYFUNCTION("""COMPUTED_VALUE"""),"Shelby Weckerly")</f>
        <v>Shelby Weckerly</v>
      </c>
      <c r="C8" s="25" t="str">
        <f ca="1">IFERROR(__xludf.DUMMYFUNCTION("""COMPUTED_VALUE"""),"HPF Bulletproofs Bluesteel")</f>
        <v>HPF Bulletproofs Bluesteel</v>
      </c>
      <c r="D8" s="25" t="str">
        <f ca="1">IFERROR(__xludf.DUMMYFUNCTION("""COMPUTED_VALUE"""),"Shelby Weckerly")</f>
        <v>Shelby Weckerly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>
        <f ca="1">IFERROR(__xludf.DUMMYFUNCTION("""COMPUTED_VALUE"""),887)</f>
        <v>887</v>
      </c>
      <c r="Q8" s="25" t="str">
        <f ca="1">IFERROR(__xludf.DUMMYFUNCTION("""COMPUTED_VALUE"""),"Sydney Dillard")</f>
        <v>Sydney Dillard</v>
      </c>
      <c r="R8" s="25" t="str">
        <f ca="1">IFERROR(__xludf.DUMMYFUNCTION("""COMPUTED_VALUE"""),"Elixir's Record Year")</f>
        <v>Elixir's Record Year</v>
      </c>
      <c r="S8" s="25" t="str">
        <f ca="1">IFERROR(__xludf.DUMMYFUNCTION("""COMPUTED_VALUE"""),"Sydney Dillard")</f>
        <v>Sydney Dillard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>
        <f ca="1">IFERROR(__xludf.DUMMYFUNCTION("""COMPUTED_VALUE"""),811)</f>
        <v>811</v>
      </c>
      <c r="B9" s="25" t="str">
        <f ca="1">IFERROR(__xludf.DUMMYFUNCTION("""COMPUTED_VALUE"""),"Leah Palmquist")</f>
        <v>Leah Palmquist</v>
      </c>
      <c r="C9" s="25" t="str">
        <f ca="1">IFERROR(__xludf.DUMMYFUNCTION("""COMPUTED_VALUE"""),"Elite's Hallelujah")</f>
        <v>Elite's Hallelujah</v>
      </c>
      <c r="D9" s="25" t="str">
        <f ca="1">IFERROR(__xludf.DUMMYFUNCTION("""COMPUTED_VALUE"""),"Julie Brown")</f>
        <v>Julie Brown</v>
      </c>
      <c r="E9" s="25">
        <v>1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>
        <f ca="1">IFERROR(__xludf.DUMMYFUNCTION("""COMPUTED_VALUE"""),639)</f>
        <v>639</v>
      </c>
      <c r="Q9" s="25" t="str">
        <f ca="1">IFERROR(__xludf.DUMMYFUNCTION("""COMPUTED_VALUE"""),"Peyton Gabbard")</f>
        <v>Peyton Gabbard</v>
      </c>
      <c r="R9" s="25" t="str">
        <f ca="1">IFERROR(__xludf.DUMMYFUNCTION("""COMPUTED_VALUE"""),"Pap'o Ole Charlie")</f>
        <v>Pap'o Ole Charlie</v>
      </c>
      <c r="S9" s="25" t="str">
        <f ca="1">IFERROR(__xludf.DUMMYFUNCTION("""COMPUTED_VALUE"""),"Peyton Gabbard")</f>
        <v>Peyton Gabbard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>
        <f ca="1">IFERROR(__xludf.DUMMYFUNCTION("""COMPUTED_VALUE"""),887)</f>
        <v>887</v>
      </c>
      <c r="B10" s="25" t="str">
        <f ca="1">IFERROR(__xludf.DUMMYFUNCTION("""COMPUTED_VALUE"""),"Sydney Dillard")</f>
        <v>Sydney Dillard</v>
      </c>
      <c r="C10" s="25" t="str">
        <f ca="1">IFERROR(__xludf.DUMMYFUNCTION("""COMPUTED_VALUE"""),"Elixir's Record Year")</f>
        <v>Elixir's Record Year</v>
      </c>
      <c r="D10" s="25" t="str">
        <f ca="1">IFERROR(__xludf.DUMMYFUNCTION("""COMPUTED_VALUE"""),"Sydney Dillard")</f>
        <v>Sydney Dillard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>
        <f ca="1">IFERROR(__xludf.DUMMYFUNCTION("""COMPUTED_VALUE"""),890)</f>
        <v>890</v>
      </c>
      <c r="Q10" s="25" t="str">
        <f ca="1">IFERROR(__xludf.DUMMYFUNCTION("""COMPUTED_VALUE"""),"Rebecca taylor")</f>
        <v>Rebecca taylor</v>
      </c>
      <c r="R10" s="25" t="str">
        <f ca="1">IFERROR(__xludf.DUMMYFUNCTION("""COMPUTED_VALUE"""),"LBF One Fancy Lady")</f>
        <v>LBF One Fancy Lady</v>
      </c>
      <c r="S10" s="25" t="str">
        <f ca="1">IFERROR(__xludf.DUMMYFUNCTION("""COMPUTED_VALUE"""),"Rebecca Taylor")</f>
        <v>Rebecca Taylor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>
        <f ca="1">IFERROR(__xludf.DUMMYFUNCTION("""COMPUTED_VALUE"""),890)</f>
        <v>890</v>
      </c>
      <c r="B11" s="25" t="str">
        <f ca="1">IFERROR(__xludf.DUMMYFUNCTION("""COMPUTED_VALUE"""),"Rebecca taylor")</f>
        <v>Rebecca taylor</v>
      </c>
      <c r="C11" s="25" t="str">
        <f ca="1">IFERROR(__xludf.DUMMYFUNCTION("""COMPUTED_VALUE"""),"LBF One Fancy Lady")</f>
        <v>LBF One Fancy Lady</v>
      </c>
      <c r="D11" s="25" t="str">
        <f ca="1">IFERROR(__xludf.DUMMYFUNCTION("""COMPUTED_VALUE"""),"Rebecca Taylor")</f>
        <v>Rebecca Taylor</v>
      </c>
      <c r="E11" s="25">
        <v>6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>
        <f ca="1">IFERROR(__xludf.DUMMYFUNCTION("""COMPUTED_VALUE"""),210)</f>
        <v>210</v>
      </c>
      <c r="Q11" s="25" t="str">
        <f ca="1">IFERROR(__xludf.DUMMYFUNCTION("""COMPUTED_VALUE"""),"Andrea Crawford")</f>
        <v>Andrea Crawford</v>
      </c>
      <c r="R11" s="25" t="str">
        <f ca="1">IFERROR(__xludf.DUMMYFUNCTION("""COMPUTED_VALUE"""),"Smokey Joe's Annabelle")</f>
        <v>Smokey Joe's Annabelle</v>
      </c>
      <c r="S11" s="25" t="str">
        <f ca="1">IFERROR(__xludf.DUMMYFUNCTION("""COMPUTED_VALUE"""),"Candy Brinegar")</f>
        <v>Candy Brinegar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>
        <f ca="1">IFERROR(__xludf.DUMMYFUNCTION("""COMPUTED_VALUE"""),913)</f>
        <v>913</v>
      </c>
      <c r="B12" s="25" t="str">
        <f ca="1">IFERROR(__xludf.DUMMYFUNCTION("""COMPUTED_VALUE"""),"Jennifer Flannery-Hall")</f>
        <v>Jennifer Flannery-Hall</v>
      </c>
      <c r="C12" s="25" t="str">
        <f ca="1">IFERROR(__xludf.DUMMYFUNCTION("""COMPUTED_VALUE"""),"Obviously an Heiress")</f>
        <v>Obviously an Heiress</v>
      </c>
      <c r="D12" s="25" t="str">
        <f ca="1">IFERROR(__xludf.DUMMYFUNCTION("""COMPUTED_VALUE"""),"Jennifer Flannery-Hall")</f>
        <v>Jennifer Flannery-Hall</v>
      </c>
      <c r="E12" s="25">
        <v>4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 t="str">
        <f ca="1">IFERROR(__xludf.DUMMYFUNCTION("""COMPUTED_VALUE"""),"Back Number")</f>
        <v>Back Number</v>
      </c>
      <c r="Q12" s="25" t="str">
        <f ca="1">IFERROR(__xludf.DUMMYFUNCTION("""COMPUTED_VALUE"""),"Rider 2 Name")</f>
        <v>Rider 2 Name</v>
      </c>
      <c r="R12" s="25" t="str">
        <f ca="1">IFERROR(__xludf.DUMMYFUNCTION("""COMPUTED_VALUE"""),"Horse Name")</f>
        <v>Horse Name</v>
      </c>
      <c r="S12" s="25" t="str">
        <f ca="1">IFERROR(__xludf.DUMMYFUNCTION("""COMPUTED_VALUE"""),"Owner")</f>
        <v>Owner</v>
      </c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>
        <f ca="1">IFERROR(__xludf.DUMMYFUNCTION("""COMPUTED_VALUE"""),917)</f>
        <v>917</v>
      </c>
      <c r="B13" s="25" t="str">
        <f ca="1">IFERROR(__xludf.DUMMYFUNCTION("""COMPUTED_VALUE"""),"Ann Day")</f>
        <v>Ann Day</v>
      </c>
      <c r="C13" s="25" t="str">
        <f ca="1">IFERROR(__xludf.DUMMYFUNCTION("""COMPUTED_VALUE"""),"WOF's Wind Commander")</f>
        <v>WOF's Wind Commander</v>
      </c>
      <c r="D13" s="25" t="str">
        <f ca="1">IFERROR(__xludf.DUMMYFUNCTION("""COMPUTED_VALUE"""),"Ann Day")</f>
        <v>Ann Day</v>
      </c>
      <c r="E13" s="25">
        <v>2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>
        <f ca="1">IFERROR(__xludf.DUMMYFUNCTION("""COMPUTED_VALUE"""),811)</f>
        <v>811</v>
      </c>
      <c r="Q13" s="25" t="str">
        <f ca="1">IFERROR(__xludf.DUMMYFUNCTION("""COMPUTED_VALUE"""),"Leah Palmquist")</f>
        <v>Leah Palmquist</v>
      </c>
      <c r="R13" s="25" t="str">
        <f ca="1">IFERROR(__xludf.DUMMYFUNCTION("""COMPUTED_VALUE"""),"Elite's Hallelujah")</f>
        <v>Elite's Hallelujah</v>
      </c>
      <c r="S13" s="25" t="str">
        <f ca="1">IFERROR(__xludf.DUMMYFUNCTION("""COMPUTED_VALUE"""),"Julie Brown")</f>
        <v>Julie Brown</v>
      </c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>
        <f ca="1">IFERROR(__xludf.DUMMYFUNCTION("""COMPUTED_VALUE"""),920)</f>
        <v>920</v>
      </c>
      <c r="B14" s="25" t="str">
        <f ca="1">IFERROR(__xludf.DUMMYFUNCTION("""COMPUTED_VALUE"""),"Derek Vance")</f>
        <v>Derek Vance</v>
      </c>
      <c r="C14" s="25" t="str">
        <f ca="1">IFERROR(__xludf.DUMMYFUNCTION("""COMPUTED_VALUE"""),"HMH Secrets N the Moonlight")</f>
        <v>HMH Secrets N the Moonlight</v>
      </c>
      <c r="D14" s="25" t="str">
        <f ca="1">IFERROR(__xludf.DUMMYFUNCTION("""COMPUTED_VALUE"""),"Derek Vance")</f>
        <v>Derek Vance</v>
      </c>
      <c r="E14" s="25">
        <v>9</v>
      </c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>
        <f ca="1">IFERROR(__xludf.DUMMYFUNCTION("""COMPUTED_VALUE"""),314)</f>
        <v>314</v>
      </c>
      <c r="Q14" s="25" t="str">
        <f ca="1">IFERROR(__xludf.DUMMYFUNCTION("""COMPUTED_VALUE"""),"Ragan Adkins")</f>
        <v>Ragan Adkins</v>
      </c>
      <c r="R14" s="25" t="str">
        <f ca="1">IFERROR(__xludf.DUMMYFUNCTION("""COMPUTED_VALUE"""),"HF's Jack Black")</f>
        <v>HF's Jack Black</v>
      </c>
      <c r="S14" s="25" t="str">
        <f ca="1">IFERROR(__xludf.DUMMYFUNCTION("""COMPUTED_VALUE"""),"Charity Burton")</f>
        <v>Charity Burton</v>
      </c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 t="str">
        <f ca="1">IFERROR(__xludf.DUMMYFUNCTION("""COMPUTED_VALUE"""),"Back Number")</f>
        <v>Back Number</v>
      </c>
      <c r="Q15" s="25" t="str">
        <f ca="1">IFERROR(__xludf.DUMMYFUNCTION("""COMPUTED_VALUE"""),"Rider 3 Name")</f>
        <v>Rider 3 Name</v>
      </c>
      <c r="R15" s="25" t="str">
        <f ca="1">IFERROR(__xludf.DUMMYFUNCTION("""COMPUTED_VALUE"""),"Horse Name")</f>
        <v>Horse Name</v>
      </c>
      <c r="S15" s="25" t="str">
        <f ca="1">IFERROR(__xludf.DUMMYFUNCTION("""COMPUTED_VALUE"""),"Owner")</f>
        <v>Owner</v>
      </c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 t="str">
        <f ca="1">IFERROR(__xludf.DUMMYFUNCTION("""COMPUTED_VALUE"""),"Back Number")</f>
        <v>Back Number</v>
      </c>
      <c r="Q16" s="25" t="str">
        <f ca="1">IFERROR(__xludf.DUMMYFUNCTION("""COMPUTED_VALUE"""),"Rider 4 Name")</f>
        <v>Rider 4 Name</v>
      </c>
      <c r="R16" s="25" t="str">
        <f ca="1">IFERROR(__xludf.DUMMYFUNCTION("""COMPUTED_VALUE"""),"Horse Name")</f>
        <v>Horse Name</v>
      </c>
      <c r="S16" s="25" t="str">
        <f ca="1">IFERROR(__xludf.DUMMYFUNCTION("""COMPUTED_VALUE"""),"Owner")</f>
        <v>Owner</v>
      </c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 t="str">
        <f ca="1">IFERROR(__xludf.DUMMYFUNCTION("""COMPUTED_VALUE"""),"Back Number")</f>
        <v>Back Number</v>
      </c>
      <c r="Q17" s="25" t="str">
        <f ca="1">IFERROR(__xludf.DUMMYFUNCTION("""COMPUTED_VALUE"""),"Rider 5 Name")</f>
        <v>Rider 5 Name</v>
      </c>
      <c r="R17" s="25" t="str">
        <f ca="1">IFERROR(__xludf.DUMMYFUNCTION("""COMPUTED_VALUE"""),"Horse Name")</f>
        <v>Horse Name</v>
      </c>
      <c r="S17" s="25" t="str">
        <f ca="1">IFERROR(__xludf.DUMMYFUNCTION("""COMPUTED_VALUE"""),"Owner")</f>
        <v>Owner</v>
      </c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 t="str">
        <f ca="1">IFERROR(__xludf.DUMMYFUNCTION("""COMPUTED_VALUE"""),"Back Number")</f>
        <v>Back Number</v>
      </c>
      <c r="Q18" s="25" t="str">
        <f ca="1">IFERROR(__xludf.DUMMYFUNCTION("""COMPUTED_VALUE"""),"Rider 6 Name")</f>
        <v>Rider 6 Name</v>
      </c>
      <c r="R18" s="25" t="str">
        <f ca="1">IFERROR(__xludf.DUMMYFUNCTION("""COMPUTED_VALUE"""),"Horse Name")</f>
        <v>Horse Name</v>
      </c>
      <c r="S18" s="25" t="str">
        <f ca="1">IFERROR(__xludf.DUMMYFUNCTION("""COMPUTED_VALUE"""),"Owner")</f>
        <v>Owner</v>
      </c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 x14ac:dyDescent="0.2">
      <c r="A41" s="16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5.75" customHeight="1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outlinePr summaryBelow="0" summaryRight="0"/>
    <pageSetUpPr fitToPage="1"/>
  </sheetPr>
  <dimension ref="A1:Z997"/>
  <sheetViews>
    <sheetView topLeftCell="B1" workbookViewId="0">
      <selection activeCell="N2" sqref="N2"/>
    </sheetView>
  </sheetViews>
  <sheetFormatPr defaultColWidth="12.5703125" defaultRowHeight="15.75" customHeight="1" x14ac:dyDescent="0.2"/>
  <cols>
    <col min="1" max="3" width="25.140625" customWidth="1"/>
    <col min="4" max="4" width="31.85546875" customWidth="1"/>
    <col min="5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4.5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74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IFERROR(__xludf.DUMMYFUNCTION("QUERY(P2:S999,""SELECT * WHERE R IS NOT NULL AND R !='Horse Name' Order By P"")"),183)</f>
        <v>183</v>
      </c>
      <c r="B2" s="25" t="str">
        <f ca="1">IFERROR(__xludf.DUMMYFUNCTION("""COMPUTED_VALUE"""),"Chastity Adkins")</f>
        <v>Chastity Adkins</v>
      </c>
      <c r="C2" s="25" t="str">
        <f ca="1">IFERROR(__xludf.DUMMYFUNCTION("""COMPUTED_VALUE"""),"DHS's Mr. Bohannon")</f>
        <v>DHS's Mr. Bohannon</v>
      </c>
      <c r="D2" s="25" t="str">
        <f ca="1">IFERROR(__xludf.DUMMYFUNCTION("""COMPUTED_VALUE"""),"Chastity Adkins")</f>
        <v>Chastity Adkins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IFERROR(__xludf.DUMMYFUNCTION("""COMPUTED_VALUE"""),949)</f>
        <v>949</v>
      </c>
      <c r="Q2" s="25" t="str">
        <f ca="1">IFERROR(__xludf.DUMMYFUNCTION("""COMPUTED_VALUE"""),"Jonathan Ramey")</f>
        <v>Jonathan Ramey</v>
      </c>
      <c r="R2" s="25" t="str">
        <f ca="1">IFERROR(__xludf.DUMMYFUNCTION("""COMPUTED_VALUE"""),"The Fresh Prince")</f>
        <v>The Fresh Prince</v>
      </c>
      <c r="S2" s="25" t="str">
        <f ca="1">IFERROR(__xludf.DUMMYFUNCTION("""COMPUTED_VALUE"""),"Jonathan Ramey")</f>
        <v>Jonathan Ramey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IFERROR(__xludf.DUMMYFUNCTION("""COMPUTED_VALUE"""),446)</f>
        <v>446</v>
      </c>
      <c r="B3" s="25" t="str">
        <f ca="1">IFERROR(__xludf.DUMMYFUNCTION("""COMPUTED_VALUE"""),"Rebecca Maggard")</f>
        <v>Rebecca Maggard</v>
      </c>
      <c r="C3" s="25" t="str">
        <f ca="1">IFERROR(__xludf.DUMMYFUNCTION("""COMPUTED_VALUE"""),"Vegas Nights")</f>
        <v>Vegas Nights</v>
      </c>
      <c r="D3" s="25" t="str">
        <f ca="1">IFERROR(__xludf.DUMMYFUNCTION("""COMPUTED_VALUE"""),"Robbie &amp; Rebecca Maggard")</f>
        <v>Robbie &amp; Rebecca Maggard</v>
      </c>
      <c r="E3" s="25">
        <v>3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IFERROR(__xludf.DUMMYFUNCTION("""COMPUTED_VALUE"""),525)</f>
        <v>525</v>
      </c>
      <c r="Q3" s="25" t="str">
        <f ca="1">IFERROR(__xludf.DUMMYFUNCTION("""COMPUTED_VALUE"""),"Cole Compton")</f>
        <v>Cole Compton</v>
      </c>
      <c r="R3" s="25" t="str">
        <f ca="1">IFERROR(__xludf.DUMMYFUNCTION("""COMPUTED_VALUE"""),"GHS's Hot To Trot")</f>
        <v>GHS's Hot To Trot</v>
      </c>
      <c r="S3" s="25" t="str">
        <f ca="1">IFERROR(__xludf.DUMMYFUNCTION("""COMPUTED_VALUE"""),"Cole Compton")</f>
        <v>Cole Compton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IFERROR(__xludf.DUMMYFUNCTION("""COMPUTED_VALUE"""),525)</f>
        <v>525</v>
      </c>
      <c r="B4" s="25" t="str">
        <f ca="1">IFERROR(__xludf.DUMMYFUNCTION("""COMPUTED_VALUE"""),"Cole Compton")</f>
        <v>Cole Compton</v>
      </c>
      <c r="C4" s="25" t="str">
        <f ca="1">IFERROR(__xludf.DUMMYFUNCTION("""COMPUTED_VALUE"""),"GHS's Hot To Trot")</f>
        <v>GHS's Hot To Trot</v>
      </c>
      <c r="D4" s="25" t="str">
        <f ca="1">IFERROR(__xludf.DUMMYFUNCTION("""COMPUTED_VALUE"""),"Cole Compton")</f>
        <v>Cole Compton</v>
      </c>
      <c r="E4" s="25">
        <v>4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IFERROR(__xludf.DUMMYFUNCTION("""COMPUTED_VALUE"""),532.1)</f>
        <v>532.1</v>
      </c>
      <c r="Q4" s="25" t="str">
        <f ca="1">IFERROR(__xludf.DUMMYFUNCTION("""COMPUTED_VALUE"""),"Ashleigh Johnson")</f>
        <v>Ashleigh Johnson</v>
      </c>
      <c r="R4" s="25" t="str">
        <f ca="1">IFERROR(__xludf.DUMMYFUNCTION("""COMPUTED_VALUE"""),"A Tiajuana Night")</f>
        <v>A Tiajuana Night</v>
      </c>
      <c r="S4" s="25" t="str">
        <f ca="1">IFERROR(__xludf.DUMMYFUNCTION("""COMPUTED_VALUE"""),"Ashleigh Johnson")</f>
        <v>Ashleigh Johnson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IFERROR(__xludf.DUMMYFUNCTION("""COMPUTED_VALUE"""),532.1)</f>
        <v>532.1</v>
      </c>
      <c r="B5" s="25" t="str">
        <f ca="1">IFERROR(__xludf.DUMMYFUNCTION("""COMPUTED_VALUE"""),"Ashleigh Johnson")</f>
        <v>Ashleigh Johnson</v>
      </c>
      <c r="C5" s="25" t="str">
        <f ca="1">IFERROR(__xludf.DUMMYFUNCTION("""COMPUTED_VALUE"""),"A Tiajuana Night")</f>
        <v>A Tiajuana Night</v>
      </c>
      <c r="D5" s="25" t="str">
        <f ca="1">IFERROR(__xludf.DUMMYFUNCTION("""COMPUTED_VALUE"""),"Ashleigh Johnson")</f>
        <v>Ashleigh Johnson</v>
      </c>
      <c r="E5" s="25">
        <v>2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IFERROR(__xludf.DUMMYFUNCTION("""COMPUTED_VALUE"""),446)</f>
        <v>446</v>
      </c>
      <c r="Q5" s="25" t="str">
        <f ca="1">IFERROR(__xludf.DUMMYFUNCTION("""COMPUTED_VALUE"""),"Rebecca Maggard")</f>
        <v>Rebecca Maggard</v>
      </c>
      <c r="R5" s="25" t="str">
        <f ca="1">IFERROR(__xludf.DUMMYFUNCTION("""COMPUTED_VALUE"""),"Vegas Nights")</f>
        <v>Vegas Nights</v>
      </c>
      <c r="S5" s="25" t="str">
        <f ca="1">IFERROR(__xludf.DUMMYFUNCTION("""COMPUTED_VALUE"""),"Robbie &amp; Rebecca Maggard")</f>
        <v>Robbie &amp; Rebecca Maggard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IFERROR(__xludf.DUMMYFUNCTION("""COMPUTED_VALUE"""),183)</f>
        <v>183</v>
      </c>
      <c r="Q6" s="25" t="str">
        <f ca="1">IFERROR(__xludf.DUMMYFUNCTION("""COMPUTED_VALUE"""),"Chastity Adkins")</f>
        <v>Chastity Adkins</v>
      </c>
      <c r="R6" s="25" t="str">
        <f ca="1">IFERROR(__xludf.DUMMYFUNCTION("""COMPUTED_VALUE"""),"DHS's Mr. Bohannon")</f>
        <v>DHS's Mr. Bohannon</v>
      </c>
      <c r="S6" s="25" t="str">
        <f ca="1">IFERROR(__xludf.DUMMYFUNCTION("""COMPUTED_VALUE"""),"Chastity Adkins")</f>
        <v>Chastity Adkins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4 Name")</f>
        <v>Rider 4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5 Name")</f>
        <v>Rider 5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6 Name")</f>
        <v>Rider 6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">
      <c r="A40" s="16"/>
    </row>
    <row r="41" spans="1:26" ht="15.75" customHeight="1" x14ac:dyDescent="0.2">
      <c r="A41" s="16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2.75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outlinePr summaryBelow="0" summaryRight="0"/>
    <pageSetUpPr fitToPage="1"/>
  </sheetPr>
  <dimension ref="A1:Z40"/>
  <sheetViews>
    <sheetView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0.42578125" customWidth="1"/>
    <col min="4" max="4" width="28.42578125" customWidth="1"/>
    <col min="5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6.6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206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P"")"),"238")</f>
        <v>238</v>
      </c>
      <c r="B2" s="25" t="str">
        <f ca="1">IFERROR(__xludf.DUMMYFUNCTION("""COMPUTED_VALUE"""),"Kendall Jordan")</f>
        <v>Kendall Jordan</v>
      </c>
      <c r="C2" s="25" t="str">
        <f ca="1">IFERROR(__xludf.DUMMYFUNCTION("""COMPUTED_VALUE"""),"Spartan")</f>
        <v>Spartan</v>
      </c>
      <c r="D2" s="25" t="str">
        <f ca="1">IFERROR(__xludf.DUMMYFUNCTION("""COMPUTED_VALUE"""),"Kendall Jordan")</f>
        <v>Kendall Jordan</v>
      </c>
      <c r="E2" s="25">
        <v>3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IFERROR(__xludf.DUMMYFUNCTION("""COMPUTED_VALUE"""),50)</f>
        <v>50</v>
      </c>
      <c r="Q2" s="25" t="str">
        <f ca="1">IFERROR(__xludf.DUMMYFUNCTION("""COMPUTED_VALUE"""),"John Rose")</f>
        <v>John Rose</v>
      </c>
      <c r="R2" s="25" t="str">
        <f ca="1">IFERROR(__xludf.DUMMYFUNCTION("""COMPUTED_VALUE"""),"G &amp; B's Deuces Wild")</f>
        <v>G &amp; B's Deuces Wild</v>
      </c>
      <c r="S2" s="25" t="str">
        <f ca="1">IFERROR(__xludf.DUMMYFUNCTION("""COMPUTED_VALUE"""),"Sharma Brown")</f>
        <v>Sharma Brown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IFERROR(__xludf.DUMMYFUNCTION("""COMPUTED_VALUE"""),"420")</f>
        <v>420</v>
      </c>
      <c r="B3" s="25" t="str">
        <f ca="1">IFERROR(__xludf.DUMMYFUNCTION("""COMPUTED_VALUE"""),"Sydney Agee")</f>
        <v>Sydney Agee</v>
      </c>
      <c r="C3" s="25" t="str">
        <f ca="1">IFERROR(__xludf.DUMMYFUNCTION("""COMPUTED_VALUE"""),"Rockin R Imagine That")</f>
        <v>Rockin R Imagine That</v>
      </c>
      <c r="D3" s="25" t="str">
        <f ca="1">IFERROR(__xludf.DUMMYFUNCTION("""COMPUTED_VALUE"""),"Sydney Agee")</f>
        <v>Sydney Agee</v>
      </c>
      <c r="E3" s="25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IFERROR(__xludf.DUMMYFUNCTION("""COMPUTED_VALUE"""),238)</f>
        <v>238</v>
      </c>
      <c r="Q3" s="25" t="str">
        <f ca="1">IFERROR(__xludf.DUMMYFUNCTION("""COMPUTED_VALUE"""),"Kendall Jordan")</f>
        <v>Kendall Jordan</v>
      </c>
      <c r="R3" s="25" t="str">
        <f ca="1">IFERROR(__xludf.DUMMYFUNCTION("""COMPUTED_VALUE"""),"Spartan")</f>
        <v>Spartan</v>
      </c>
      <c r="S3" s="25" t="str">
        <f ca="1">IFERROR(__xludf.DUMMYFUNCTION("""COMPUTED_VALUE"""),"Kendall Jordan")</f>
        <v>Kendall Jordan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 t="str">
        <f ca="1">IFERROR(__xludf.DUMMYFUNCTION("""COMPUTED_VALUE"""),"50")</f>
        <v>50</v>
      </c>
      <c r="B4" s="25" t="str">
        <f ca="1">IFERROR(__xludf.DUMMYFUNCTION("""COMPUTED_VALUE"""),"John Rose")</f>
        <v>John Rose</v>
      </c>
      <c r="C4" s="25" t="str">
        <f ca="1">IFERROR(__xludf.DUMMYFUNCTION("""COMPUTED_VALUE"""),"G &amp; B's Deuces Wild")</f>
        <v>G &amp; B's Deuces Wild</v>
      </c>
      <c r="D4" s="25" t="str">
        <f ca="1">IFERROR(__xludf.DUMMYFUNCTION("""COMPUTED_VALUE"""),"Sharma Brown")</f>
        <v>Sharma Brown</v>
      </c>
      <c r="E4" s="25">
        <v>1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2 Name")</f>
        <v>Rider 2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IFERROR(__xludf.DUMMYFUNCTION("""COMPUTED_VALUE"""),420)</f>
        <v>420</v>
      </c>
      <c r="Q5" s="25" t="str">
        <f ca="1">IFERROR(__xludf.DUMMYFUNCTION("""COMPUTED_VALUE"""),"Sydney Agee")</f>
        <v>Sydney Agee</v>
      </c>
      <c r="R5" s="25" t="str">
        <f ca="1">IFERROR(__xludf.DUMMYFUNCTION("""COMPUTED_VALUE"""),"Rockin R Imagine That")</f>
        <v>Rockin R Imagine That</v>
      </c>
      <c r="S5" s="25" t="str">
        <f ca="1">IFERROR(__xludf.DUMMYFUNCTION("""COMPUTED_VALUE"""),"Sydney Agee")</f>
        <v>Sydney Agee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4 Name")</f>
        <v>Rider 4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5 Name")</f>
        <v>Rider 5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6 Name")</f>
        <v>Rider 6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outlinePr summaryBelow="0" summaryRight="0"/>
    <pageSetUpPr fitToPage="1"/>
  </sheetPr>
  <dimension ref="A1:Z40"/>
  <sheetViews>
    <sheetView workbookViewId="0">
      <selection activeCell="N2" sqref="N2"/>
    </sheetView>
  </sheetViews>
  <sheetFormatPr defaultColWidth="12.5703125" defaultRowHeight="15.75" customHeight="1" x14ac:dyDescent="0.2"/>
  <cols>
    <col min="1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27.6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81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P"")"),"250")</f>
        <v>250</v>
      </c>
      <c r="B2" s="25" t="str">
        <f ca="1">IFERROR(__xludf.DUMMYFUNCTION("""COMPUTED_VALUE"""),"Jacob Park")</f>
        <v>Jacob Park</v>
      </c>
      <c r="C2" s="25" t="str">
        <f ca="1">IFERROR(__xludf.DUMMYFUNCTION("""COMPUTED_VALUE"""),"GHS's Walk a Fine Line")</f>
        <v>GHS's Walk a Fine Line</v>
      </c>
      <c r="D2" s="25" t="str">
        <f ca="1">IFERROR(__xludf.DUMMYFUNCTION("""COMPUTED_VALUE"""),"Greathouse Stables")</f>
        <v>Greathouse Stables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IFERROR(__xludf.DUMMYFUNCTION("""COMPUTED_VALUE"""),250)</f>
        <v>250</v>
      </c>
      <c r="Q2" s="25" t="str">
        <f ca="1">IFERROR(__xludf.DUMMYFUNCTION("""COMPUTED_VALUE"""),"Jacob Park")</f>
        <v>Jacob Park</v>
      </c>
      <c r="R2" s="25" t="str">
        <f ca="1">IFERROR(__xludf.DUMMYFUNCTION("""COMPUTED_VALUE"""),"GHS's Walk a Fine Line")</f>
        <v>GHS's Walk a Fine Line</v>
      </c>
      <c r="S2" s="25" t="str">
        <f ca="1">IFERROR(__xludf.DUMMYFUNCTION("""COMPUTED_VALUE"""),"Greathouse Stables")</f>
        <v>Greathouse Stables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IFERROR(__xludf.DUMMYFUNCTION("""COMPUTED_VALUE"""),"384")</f>
        <v>384</v>
      </c>
      <c r="B3" s="25" t="str">
        <f ca="1">IFERROR(__xludf.DUMMYFUNCTION("""COMPUTED_VALUE"""),"Elijah Curran")</f>
        <v>Elijah Curran</v>
      </c>
      <c r="C3" s="25" t="str">
        <f ca="1">IFERROR(__xludf.DUMMYFUNCTION("""COMPUTED_VALUE"""),"3BF More Power to Ya")</f>
        <v>3BF More Power to Ya</v>
      </c>
      <c r="D3" s="25" t="str">
        <f ca="1">IFERROR(__xludf.DUMMYFUNCTION("""COMPUTED_VALUE"""),"Ronn Pelfrey")</f>
        <v>Ronn Pelfrey</v>
      </c>
      <c r="E3" s="25">
        <v>3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IFERROR(__xludf.DUMMYFUNCTION("""COMPUTED_VALUE"""),441)</f>
        <v>441</v>
      </c>
      <c r="Q3" s="25" t="str">
        <f ca="1">IFERROR(__xludf.DUMMYFUNCTION("""COMPUTED_VALUE"""),"Alexis Flynn")</f>
        <v>Alexis Flynn</v>
      </c>
      <c r="R3" s="25" t="str">
        <f ca="1">IFERROR(__xludf.DUMMYFUNCTION("""COMPUTED_VALUE"""),"K.O. Amazing Grace")</f>
        <v>K.O. Amazing Grace</v>
      </c>
      <c r="S3" s="25" t="str">
        <f ca="1">IFERROR(__xludf.DUMMYFUNCTION("""COMPUTED_VALUE"""),"John Flynn")</f>
        <v>John Flynn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 t="str">
        <f ca="1">IFERROR(__xludf.DUMMYFUNCTION("""COMPUTED_VALUE"""),"441")</f>
        <v>441</v>
      </c>
      <c r="B4" s="25" t="str">
        <f ca="1">IFERROR(__xludf.DUMMYFUNCTION("""COMPUTED_VALUE"""),"Alexis Flynn")</f>
        <v>Alexis Flynn</v>
      </c>
      <c r="C4" s="25" t="str">
        <f ca="1">IFERROR(__xludf.DUMMYFUNCTION("""COMPUTED_VALUE"""),"K.O. Amazing Grace")</f>
        <v>K.O. Amazing Grace</v>
      </c>
      <c r="D4" s="25" t="str">
        <f ca="1">IFERROR(__xludf.DUMMYFUNCTION("""COMPUTED_VALUE"""),"John Flynn")</f>
        <v>John Flynn</v>
      </c>
      <c r="E4" s="25">
        <v>2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IFERROR(__xludf.DUMMYFUNCTION("""COMPUTED_VALUE"""),384)</f>
        <v>384</v>
      </c>
      <c r="Q4" s="25" t="str">
        <f ca="1">IFERROR(__xludf.DUMMYFUNCTION("""COMPUTED_VALUE"""),"Elijah Curran")</f>
        <v>Elijah Curran</v>
      </c>
      <c r="R4" s="25" t="str">
        <f ca="1">IFERROR(__xludf.DUMMYFUNCTION("""COMPUTED_VALUE"""),"3BF More Power to Ya")</f>
        <v>3BF More Power to Ya</v>
      </c>
      <c r="S4" s="25" t="str">
        <f ca="1">IFERROR(__xludf.DUMMYFUNCTION("""COMPUTED_VALUE"""),"Ronn Pelfrey")</f>
        <v>Ronn Pelfrey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2 Name")</f>
        <v>Rider 2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4 Name")</f>
        <v>Rider 4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5 Name")</f>
        <v>Rider 5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6 Name")</f>
        <v>Rider 6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outlinePr summaryBelow="0" summaryRight="0"/>
    <pageSetUpPr fitToPage="1"/>
  </sheetPr>
  <dimension ref="A1:Z998"/>
  <sheetViews>
    <sheetView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3.140625" customWidth="1"/>
    <col min="4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3.950000000000003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58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 t="str">
        <f ca="1">IFERROR(__xludf.DUMMYFUNCTION("QUERY(P2:S999,""SELECT * WHERE R IS NOT NULL AND R !='Horse Name' Order By P"")"),"238")</f>
        <v>238</v>
      </c>
      <c r="B2" s="25" t="str">
        <f ca="1">IFERROR(__xludf.DUMMYFUNCTION("""COMPUTED_VALUE"""),"Eliza Walters")</f>
        <v>Eliza Walters</v>
      </c>
      <c r="C2" s="25" t="str">
        <f ca="1">IFERROR(__xludf.DUMMYFUNCTION("""COMPUTED_VALUE"""),"Spartan")</f>
        <v>Spartan</v>
      </c>
      <c r="D2" s="25" t="str">
        <f ca="1">IFERROR(__xludf.DUMMYFUNCTION("""COMPUTED_VALUE"""),"Kendall Jordan")</f>
        <v>Kendall Jordan</v>
      </c>
      <c r="E2" s="25">
        <v>4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IFERROR(__xludf.DUMMYFUNCTION("""COMPUTED_VALUE"""),454)</f>
        <v>454</v>
      </c>
      <c r="Q2" s="25" t="str">
        <f ca="1">IFERROR(__xludf.DUMMYFUNCTION("""COMPUTED_VALUE"""),"LaTasha Johnson")</f>
        <v>LaTasha Johnson</v>
      </c>
      <c r="R2" s="25" t="str">
        <f ca="1">IFERROR(__xludf.DUMMYFUNCTION("""COMPUTED_VALUE"""),"Rocking The Night Away")</f>
        <v>Rocking The Night Away</v>
      </c>
      <c r="S2" s="25" t="str">
        <f ca="1">IFERROR(__xludf.DUMMYFUNCTION("""COMPUTED_VALUE"""),"LaTasha Johnson")</f>
        <v>LaTasha Johnson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 t="str">
        <f ca="1">IFERROR(__xludf.DUMMYFUNCTION("""COMPUTED_VALUE"""),"420")</f>
        <v>420</v>
      </c>
      <c r="B3" s="25" t="str">
        <f ca="1">IFERROR(__xludf.DUMMYFUNCTION("""COMPUTED_VALUE"""),"Sydney Agee")</f>
        <v>Sydney Agee</v>
      </c>
      <c r="C3" s="25" t="str">
        <f ca="1">IFERROR(__xludf.DUMMYFUNCTION("""COMPUTED_VALUE"""),"Rockin R Imagine That")</f>
        <v>Rockin R Imagine That</v>
      </c>
      <c r="D3" s="25" t="str">
        <f ca="1">IFERROR(__xludf.DUMMYFUNCTION("""COMPUTED_VALUE"""),"Sydney Agee")</f>
        <v>Sydney Agee</v>
      </c>
      <c r="E3" s="25">
        <v>3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IFERROR(__xludf.DUMMYFUNCTION("""COMPUTED_VALUE"""),920)</f>
        <v>920</v>
      </c>
      <c r="Q3" s="25" t="str">
        <f ca="1">IFERROR(__xludf.DUMMYFUNCTION("""COMPUTED_VALUE"""),"Derek Vance")</f>
        <v>Derek Vance</v>
      </c>
      <c r="R3" s="25" t="str">
        <f ca="1">IFERROR(__xludf.DUMMYFUNCTION("""COMPUTED_VALUE"""),"HMH Secrets N the Moonlight")</f>
        <v>HMH Secrets N the Moonlight</v>
      </c>
      <c r="S3" s="25" t="str">
        <f ca="1">IFERROR(__xludf.DUMMYFUNCTION("""COMPUTED_VALUE"""),"Derek Vance")</f>
        <v>Derek Vance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 t="str">
        <f ca="1">IFERROR(__xludf.DUMMYFUNCTION("""COMPUTED_VALUE"""),"454")</f>
        <v>454</v>
      </c>
      <c r="B4" s="25" t="str">
        <f ca="1">IFERROR(__xludf.DUMMYFUNCTION("""COMPUTED_VALUE"""),"LaTasha Johnson")</f>
        <v>LaTasha Johnson</v>
      </c>
      <c r="C4" s="25" t="str">
        <f ca="1">IFERROR(__xludf.DUMMYFUNCTION("""COMPUTED_VALUE"""),"Rocking The Night Away")</f>
        <v>Rocking The Night Away</v>
      </c>
      <c r="D4" s="25" t="str">
        <f ca="1">IFERROR(__xludf.DUMMYFUNCTION("""COMPUTED_VALUE"""),"LaTasha Johnson")</f>
        <v>LaTasha Johnson</v>
      </c>
      <c r="E4" s="25">
        <v>1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2 Name")</f>
        <v>Rider 2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 t="str">
        <f ca="1">IFERROR(__xludf.DUMMYFUNCTION("""COMPUTED_VALUE"""),"920")</f>
        <v>920</v>
      </c>
      <c r="B5" s="25" t="str">
        <f ca="1">IFERROR(__xludf.DUMMYFUNCTION("""COMPUTED_VALUE"""),"Derek Vance")</f>
        <v>Derek Vance</v>
      </c>
      <c r="C5" s="25" t="str">
        <f ca="1">IFERROR(__xludf.DUMMYFUNCTION("""COMPUTED_VALUE"""),"HMH Secrets N the Moonlight")</f>
        <v>HMH Secrets N the Moonlight</v>
      </c>
      <c r="D5" s="25" t="str">
        <f ca="1">IFERROR(__xludf.DUMMYFUNCTION("""COMPUTED_VALUE"""),"Derek Vance")</f>
        <v>Derek Vance</v>
      </c>
      <c r="E5" s="25">
        <v>2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IFERROR(__xludf.DUMMYFUNCTION("""COMPUTED_VALUE"""),420)</f>
        <v>420</v>
      </c>
      <c r="Q5" s="25" t="str">
        <f ca="1">IFERROR(__xludf.DUMMYFUNCTION("""COMPUTED_VALUE"""),"Sydney Agee")</f>
        <v>Sydney Agee</v>
      </c>
      <c r="R5" s="25" t="str">
        <f ca="1">IFERROR(__xludf.DUMMYFUNCTION("""COMPUTED_VALUE"""),"Rockin R Imagine That")</f>
        <v>Rockin R Imagine That</v>
      </c>
      <c r="S5" s="25" t="str">
        <f ca="1">IFERROR(__xludf.DUMMYFUNCTION("""COMPUTED_VALUE"""),"Sydney Agee")</f>
        <v>Sydney Agee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IFERROR(__xludf.DUMMYFUNCTION("""COMPUTED_VALUE"""),238)</f>
        <v>238</v>
      </c>
      <c r="Q6" s="25" t="str">
        <f ca="1">IFERROR(__xludf.DUMMYFUNCTION("""COMPUTED_VALUE"""),"Eliza Walters")</f>
        <v>Eliza Walters</v>
      </c>
      <c r="R6" s="25" t="str">
        <f ca="1">IFERROR(__xludf.DUMMYFUNCTION("""COMPUTED_VALUE"""),"Spartan")</f>
        <v>Spartan</v>
      </c>
      <c r="S6" s="25" t="str">
        <f ca="1">IFERROR(__xludf.DUMMYFUNCTION("""COMPUTED_VALUE"""),"Kendall Jordan")</f>
        <v>Kendall Jordan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3 Name")</f>
        <v>Rider 3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4 Name")</f>
        <v>Rider 4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6 Name")</f>
        <v>Rider 6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 x14ac:dyDescent="0.2">
      <c r="A41" s="16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5.75" customHeight="1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outlinePr summaryBelow="0" summaryRight="0"/>
    <pageSetUpPr fitToPage="1"/>
  </sheetPr>
  <dimension ref="A1:Z39"/>
  <sheetViews>
    <sheetView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29.85546875" customWidth="1"/>
    <col min="4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4.5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207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IFERROR(__xludf.DUMMYFUNCTION("""COMPUTED_VALUE"""),"116")</f>
        <v>116</v>
      </c>
      <c r="B2" s="25" t="str">
        <f ca="1">IFERROR(__xludf.DUMMYFUNCTION("""COMPUTED_VALUE"""),"Ruby DeAtley")</f>
        <v>Ruby DeAtley</v>
      </c>
      <c r="C2" s="25" t="str">
        <f ca="1">IFERROR(__xludf.DUMMYFUNCTION("""COMPUTED_VALUE"""),"B &amp; T's Slamma Jamma")</f>
        <v>B &amp; T's Slamma Jamma</v>
      </c>
      <c r="D2" s="25" t="str">
        <f ca="1">IFERROR(__xludf.DUMMYFUNCTION("""COMPUTED_VALUE"""),"Brenda Watson")</f>
        <v>Brenda Watson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IFERROR(__xludf.DUMMYFUNCTION("""COMPUTED_VALUE"""),522)</f>
        <v>522</v>
      </c>
      <c r="Q2" s="25" t="str">
        <f ca="1">IFERROR(__xludf.DUMMYFUNCTION("""COMPUTED_VALUE"""),"Olivia Warner")</f>
        <v>Olivia Warner</v>
      </c>
      <c r="R2" s="25" t="str">
        <f ca="1">IFERROR(__xludf.DUMMYFUNCTION("""COMPUTED_VALUE"""),"WOF Glamour &amp; Style")</f>
        <v>WOF Glamour &amp; Style</v>
      </c>
      <c r="S2" s="25" t="str">
        <f ca="1">IFERROR(__xludf.DUMMYFUNCTION("""COMPUTED_VALUE"""),"Mary Keller Tucker")</f>
        <v>Mary Keller Tucker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IFERROR(__xludf.DUMMYFUNCTION("""COMPUTED_VALUE"""),"522")</f>
        <v>522</v>
      </c>
      <c r="B3" s="25" t="str">
        <f ca="1">IFERROR(__xludf.DUMMYFUNCTION("""COMPUTED_VALUE"""),"Olivia Warner")</f>
        <v>Olivia Warner</v>
      </c>
      <c r="C3" s="25" t="str">
        <f ca="1">IFERROR(__xludf.DUMMYFUNCTION("""COMPUTED_VALUE"""),"WOF Glamour &amp; Style")</f>
        <v>WOF Glamour &amp; Style</v>
      </c>
      <c r="D3" s="25" t="str">
        <f ca="1">IFERROR(__xludf.DUMMYFUNCTION("""COMPUTED_VALUE"""),"Mary Keller Tucker")</f>
        <v>Mary Keller Tucker</v>
      </c>
      <c r="E3" s="25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IFERROR(__xludf.DUMMYFUNCTION("""COMPUTED_VALUE"""),116)</f>
        <v>116</v>
      </c>
      <c r="Q3" s="25" t="str">
        <f ca="1">IFERROR(__xludf.DUMMYFUNCTION("""COMPUTED_VALUE"""),"Ruby DeAtley")</f>
        <v>Ruby DeAtley</v>
      </c>
      <c r="R3" s="25" t="str">
        <f ca="1">IFERROR(__xludf.DUMMYFUNCTION("""COMPUTED_VALUE"""),"B &amp; T's Slamma Jamma")</f>
        <v>B &amp; T's Slamma Jamma</v>
      </c>
      <c r="S3" s="25" t="str">
        <f ca="1">IFERROR(__xludf.DUMMYFUNCTION("""COMPUTED_VALUE"""),"Brenda Watson")</f>
        <v>Brenda Watson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3 Name")</f>
        <v>Rider 3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5 Name")</f>
        <v>Rider 5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6 Name")</f>
        <v>Rider 6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outlinePr summaryBelow="0" summaryRight="0"/>
    <pageSetUpPr fitToPage="1"/>
  </sheetPr>
  <dimension ref="A1:Z998"/>
  <sheetViews>
    <sheetView topLeftCell="B1"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2.42578125" customWidth="1"/>
    <col min="4" max="4" width="33.28515625" customWidth="1"/>
    <col min="5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5.1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208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IFERROR(__xludf.DUMMYFUNCTION("QUERY(P2:S999,""SELECT * WHERE R IS NOT NULL AND R !='Horse Name' Order By P"")"),66)</f>
        <v>66</v>
      </c>
      <c r="B2" s="25" t="str">
        <f ca="1">IFERROR(__xludf.DUMMYFUNCTION("""COMPUTED_VALUE"""),"Charlie DeAtley")</f>
        <v>Charlie DeAtley</v>
      </c>
      <c r="C2" s="25" t="str">
        <f ca="1">IFERROR(__xludf.DUMMYFUNCTION("""COMPUTED_VALUE"""),"Black Market Diamond")</f>
        <v>Black Market Diamond</v>
      </c>
      <c r="D2" s="25" t="str">
        <f ca="1">IFERROR(__xludf.DUMMYFUNCTION("""COMPUTED_VALUE"""),"Steve and Susan Heuslein")</f>
        <v>Steve and Susan Heuslein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IFERROR(__xludf.DUMMYFUNCTION("""COMPUTED_VALUE"""),920)</f>
        <v>920</v>
      </c>
      <c r="Q2" s="25" t="str">
        <f ca="1">IFERROR(__xludf.DUMMYFUNCTION("""COMPUTED_VALUE"""),"Derek Vance")</f>
        <v>Derek Vance</v>
      </c>
      <c r="R2" s="25" t="str">
        <f ca="1">IFERROR(__xludf.DUMMYFUNCTION("""COMPUTED_VALUE"""),"HMH Secrets N the Moonlight")</f>
        <v>HMH Secrets N the Moonlight</v>
      </c>
      <c r="S2" s="25" t="str">
        <f ca="1">IFERROR(__xludf.DUMMYFUNCTION("""COMPUTED_VALUE"""),"Derek Vance")</f>
        <v>Derek Vance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IFERROR(__xludf.DUMMYFUNCTION("""COMPUTED_VALUE"""),210)</f>
        <v>210</v>
      </c>
      <c r="B3" s="25" t="str">
        <f ca="1">IFERROR(__xludf.DUMMYFUNCTION("""COMPUTED_VALUE"""),"Andrea Crawford")</f>
        <v>Andrea Crawford</v>
      </c>
      <c r="C3" s="25" t="str">
        <f ca="1">IFERROR(__xludf.DUMMYFUNCTION("""COMPUTED_VALUE"""),"Smokey Joe's Annabelle")</f>
        <v>Smokey Joe's Annabelle</v>
      </c>
      <c r="D3" s="25" t="str">
        <f ca="1">IFERROR(__xludf.DUMMYFUNCTION("""COMPUTED_VALUE"""),"Candy Brinegar")</f>
        <v>Candy Brinegar</v>
      </c>
      <c r="E3" s="25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IFERROR(__xludf.DUMMYFUNCTION("""COMPUTED_VALUE"""),66)</f>
        <v>66</v>
      </c>
      <c r="Q3" s="25" t="str">
        <f ca="1">IFERROR(__xludf.DUMMYFUNCTION("""COMPUTED_VALUE"""),"Charlie DeAtley")</f>
        <v>Charlie DeAtley</v>
      </c>
      <c r="R3" s="25" t="str">
        <f ca="1">IFERROR(__xludf.DUMMYFUNCTION("""COMPUTED_VALUE"""),"Black Market Diamond")</f>
        <v>Black Market Diamond</v>
      </c>
      <c r="S3" s="25" t="str">
        <f ca="1">IFERROR(__xludf.DUMMYFUNCTION("""COMPUTED_VALUE"""),"Steve and Susan Heuslein")</f>
        <v>Steve and Susan Heuslein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IFERROR(__xludf.DUMMYFUNCTION("""COMPUTED_VALUE"""),620)</f>
        <v>620</v>
      </c>
      <c r="B4" s="25" t="str">
        <f ca="1">IFERROR(__xludf.DUMMYFUNCTION("""COMPUTED_VALUE"""),"John Rose")</f>
        <v>John Rose</v>
      </c>
      <c r="C4" s="25" t="str">
        <f ca="1">IFERROR(__xludf.DUMMYFUNCTION("""COMPUTED_VALUE"""),"RHF Windswept")</f>
        <v>RHF Windswept</v>
      </c>
      <c r="D4" s="25" t="str">
        <f ca="1">IFERROR(__xludf.DUMMYFUNCTION("""COMPUTED_VALUE"""),"Sharma Brown")</f>
        <v>Sharma Brown</v>
      </c>
      <c r="E4" s="25">
        <v>4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IFERROR(__xludf.DUMMYFUNCTION("""COMPUTED_VALUE"""),917)</f>
        <v>917</v>
      </c>
      <c r="Q4" s="25" t="str">
        <f ca="1">IFERROR(__xludf.DUMMYFUNCTION("""COMPUTED_VALUE"""),"Mary Kelly Tucker")</f>
        <v>Mary Kelly Tucker</v>
      </c>
      <c r="R4" s="25" t="str">
        <f ca="1">IFERROR(__xludf.DUMMYFUNCTION("""COMPUTED_VALUE"""),"WOF's Wind Commander")</f>
        <v>WOF's Wind Commander</v>
      </c>
      <c r="S4" s="25" t="str">
        <f ca="1">IFERROR(__xludf.DUMMYFUNCTION("""COMPUTED_VALUE"""),"Ann Day")</f>
        <v>Ann Day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IFERROR(__xludf.DUMMYFUNCTION("""COMPUTED_VALUE"""),917)</f>
        <v>917</v>
      </c>
      <c r="B5" s="25" t="str">
        <f ca="1">IFERROR(__xludf.DUMMYFUNCTION("""COMPUTED_VALUE"""),"Mary Kelly Tucker")</f>
        <v>Mary Kelly Tucker</v>
      </c>
      <c r="C5" s="25" t="str">
        <f ca="1">IFERROR(__xludf.DUMMYFUNCTION("""COMPUTED_VALUE"""),"WOF's Wind Commander")</f>
        <v>WOF's Wind Commander</v>
      </c>
      <c r="D5" s="25" t="str">
        <f ca="1">IFERROR(__xludf.DUMMYFUNCTION("""COMPUTED_VALUE"""),"Ann Day")</f>
        <v>Ann Day</v>
      </c>
      <c r="E5" s="25">
        <v>3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IFERROR(__xludf.DUMMYFUNCTION("""COMPUTED_VALUE"""),210)</f>
        <v>210</v>
      </c>
      <c r="Q5" s="25" t="str">
        <f ca="1">IFERROR(__xludf.DUMMYFUNCTION("""COMPUTED_VALUE"""),"Andrea Crawford")</f>
        <v>Andrea Crawford</v>
      </c>
      <c r="R5" s="25" t="str">
        <f ca="1">IFERROR(__xludf.DUMMYFUNCTION("""COMPUTED_VALUE"""),"Smokey Joe's Annabelle")</f>
        <v>Smokey Joe's Annabelle</v>
      </c>
      <c r="S5" s="25" t="str">
        <f ca="1">IFERROR(__xludf.DUMMYFUNCTION("""COMPUTED_VALUE"""),"Candy Brinegar")</f>
        <v>Candy Brinegar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IFERROR(__xludf.DUMMYFUNCTION("""COMPUTED_VALUE"""),920)</f>
        <v>920</v>
      </c>
      <c r="B6" s="25" t="str">
        <f ca="1">IFERROR(__xludf.DUMMYFUNCTION("""COMPUTED_VALUE"""),"Derek Vance")</f>
        <v>Derek Vance</v>
      </c>
      <c r="C6" s="25" t="str">
        <f ca="1">IFERROR(__xludf.DUMMYFUNCTION("""COMPUTED_VALUE"""),"HMH Secrets N the Moonlight")</f>
        <v>HMH Secrets N the Moonlight</v>
      </c>
      <c r="D6" s="25" t="str">
        <f ca="1">IFERROR(__xludf.DUMMYFUNCTION("""COMPUTED_VALUE"""),"Derek Vance")</f>
        <v>Derek Vance</v>
      </c>
      <c r="E6" s="25">
        <v>5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2 Name")</f>
        <v>Rider 2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IFERROR(__xludf.DUMMYFUNCTION("""COMPUTED_VALUE"""),620)</f>
        <v>620</v>
      </c>
      <c r="Q7" s="25" t="str">
        <f ca="1">IFERROR(__xludf.DUMMYFUNCTION("""COMPUTED_VALUE"""),"John Rose")</f>
        <v>John Rose</v>
      </c>
      <c r="R7" s="25" t="str">
        <f ca="1">IFERROR(__xludf.DUMMYFUNCTION("""COMPUTED_VALUE"""),"RHF Windswept")</f>
        <v>RHF Windswept</v>
      </c>
      <c r="S7" s="25" t="str">
        <f ca="1">IFERROR(__xludf.DUMMYFUNCTION("""COMPUTED_VALUE"""),"Sharma Brown")</f>
        <v>Sharma Brown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4 Name")</f>
        <v>Rider 4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5 Name")</f>
        <v>Rider 5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6 Name")</f>
        <v>Rider 6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 x14ac:dyDescent="0.2">
      <c r="A41" s="16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5.75" customHeight="1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outlinePr summaryBelow="0" summaryRight="0"/>
    <pageSetUpPr fitToPage="1"/>
  </sheetPr>
  <dimension ref="A1:Z998"/>
  <sheetViews>
    <sheetView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2.42578125" customWidth="1"/>
    <col min="4" max="4" width="28.85546875" customWidth="1"/>
    <col min="5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2.1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209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 t="str">
        <f ca="1">IFERROR(__xludf.DUMMYFUNCTION("QUERY(P2:S999,""SELECT * WHERE R IS NOT NULL AND R !='Horse Name' Order By P"")"),"546")</f>
        <v>546</v>
      </c>
      <c r="B2" s="25" t="str">
        <f ca="1">IFERROR(__xludf.DUMMYFUNCTION("""COMPUTED_VALUE"""),"Justin Stefanic")</f>
        <v>Justin Stefanic</v>
      </c>
      <c r="C2" s="25" t="str">
        <f ca="1">IFERROR(__xludf.DUMMYFUNCTION("""COMPUTED_VALUE"""),"Felony Melony")</f>
        <v>Felony Melony</v>
      </c>
      <c r="D2" s="25" t="str">
        <f ca="1">IFERROR(__xludf.DUMMYFUNCTION("""COMPUTED_VALUE"""),"Hannah Stefanic")</f>
        <v>Hannah Stefanic</v>
      </c>
      <c r="E2" s="25">
        <v>3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IFERROR(__xludf.DUMMYFUNCTION("""COMPUTED_VALUE"""),711)</f>
        <v>711</v>
      </c>
      <c r="Q2" s="25" t="str">
        <f ca="1">IFERROR(__xludf.DUMMYFUNCTION("""COMPUTED_VALUE"""),"Talon  Fox")</f>
        <v>Talon  Fox</v>
      </c>
      <c r="R2" s="25" t="str">
        <f ca="1">IFERROR(__xludf.DUMMYFUNCTION("""COMPUTED_VALUE"""),"Money in the Bank")</f>
        <v>Money in the Bank</v>
      </c>
      <c r="S2" s="25" t="str">
        <f ca="1">IFERROR(__xludf.DUMMYFUNCTION("""COMPUTED_VALUE"""),"Craig Tyler Moore")</f>
        <v>Craig Tyler Moore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 t="str">
        <f ca="1">IFERROR(__xludf.DUMMYFUNCTION("""COMPUTED_VALUE"""),"575")</f>
        <v>575</v>
      </c>
      <c r="B3" s="25" t="str">
        <f ca="1">IFERROR(__xludf.DUMMYFUNCTION("""COMPUTED_VALUE"""),"Karter Alexander")</f>
        <v>Karter Alexander</v>
      </c>
      <c r="C3" s="25" t="str">
        <f ca="1">IFERROR(__xludf.DUMMYFUNCTION("""COMPUTED_VALUE"""),"Rip Stone Joe")</f>
        <v>Rip Stone Joe</v>
      </c>
      <c r="D3" s="25" t="str">
        <f ca="1">IFERROR(__xludf.DUMMYFUNCTION("""COMPUTED_VALUE"""),"Melissa Alexander")</f>
        <v>Melissa Alexander</v>
      </c>
      <c r="E3" s="25">
        <v>4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IFERROR(__xludf.DUMMYFUNCTION("""COMPUTED_VALUE"""),575)</f>
        <v>575</v>
      </c>
      <c r="Q3" s="25" t="str">
        <f ca="1">IFERROR(__xludf.DUMMYFUNCTION("""COMPUTED_VALUE"""),"Karter Alexander")</f>
        <v>Karter Alexander</v>
      </c>
      <c r="R3" s="25" t="str">
        <f ca="1">IFERROR(__xludf.DUMMYFUNCTION("""COMPUTED_VALUE"""),"Rip Stone Joe")</f>
        <v>Rip Stone Joe</v>
      </c>
      <c r="S3" s="25" t="str">
        <f ca="1">IFERROR(__xludf.DUMMYFUNCTION("""COMPUTED_VALUE"""),"Melissa Alexander")</f>
        <v>Melissa Alexander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 t="str">
        <f ca="1">IFERROR(__xludf.DUMMYFUNCTION("""COMPUTED_VALUE"""),"700")</f>
        <v>700</v>
      </c>
      <c r="B4" s="25" t="str">
        <f ca="1">IFERROR(__xludf.DUMMYFUNCTION("""COMPUTED_VALUE"""),"Ruby DeAtley")</f>
        <v>Ruby DeAtley</v>
      </c>
      <c r="C4" s="25" t="str">
        <f ca="1">IFERROR(__xludf.DUMMYFUNCTION("""COMPUTED_VALUE"""),"DHS's Diamond Broker")</f>
        <v>DHS's Diamond Broker</v>
      </c>
      <c r="D4" s="25" t="str">
        <f ca="1">IFERROR(__xludf.DUMMYFUNCTION("""COMPUTED_VALUE"""),"Melisse Sharkey")</f>
        <v>Melisse Sharkey</v>
      </c>
      <c r="E4" s="25">
        <v>1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IFERROR(__xludf.DUMMYFUNCTION("""COMPUTED_VALUE"""),546)</f>
        <v>546</v>
      </c>
      <c r="Q4" s="25" t="str">
        <f ca="1">IFERROR(__xludf.DUMMYFUNCTION("""COMPUTED_VALUE"""),"Justin Stefanic")</f>
        <v>Justin Stefanic</v>
      </c>
      <c r="R4" s="25" t="str">
        <f ca="1">IFERROR(__xludf.DUMMYFUNCTION("""COMPUTED_VALUE"""),"Felony Melony")</f>
        <v>Felony Melony</v>
      </c>
      <c r="S4" s="25" t="str">
        <f ca="1">IFERROR(__xludf.DUMMYFUNCTION("""COMPUTED_VALUE"""),"Hannah Stefanic")</f>
        <v>Hannah Stefanic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 t="str">
        <f ca="1">IFERROR(__xludf.DUMMYFUNCTION("""COMPUTED_VALUE"""),"711")</f>
        <v>711</v>
      </c>
      <c r="B5" s="25" t="str">
        <f ca="1">IFERROR(__xludf.DUMMYFUNCTION("""COMPUTED_VALUE"""),"Talon  Fox")</f>
        <v>Talon  Fox</v>
      </c>
      <c r="C5" s="25" t="str">
        <f ca="1">IFERROR(__xludf.DUMMYFUNCTION("""COMPUTED_VALUE"""),"Money in the Bank")</f>
        <v>Money in the Bank</v>
      </c>
      <c r="D5" s="25" t="str">
        <f ca="1">IFERROR(__xludf.DUMMYFUNCTION("""COMPUTED_VALUE"""),"Craig Tyler Moore")</f>
        <v>Craig Tyler Moore</v>
      </c>
      <c r="E5" s="25">
        <v>2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2 Name")</f>
        <v>Rider 2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3 Name")</f>
        <v>Rider 3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4 Name")</f>
        <v>Rider 4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5 Name")</f>
        <v>Rider 5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6 Name")</f>
        <v>Rider 6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 x14ac:dyDescent="0.2">
      <c r="A41" s="16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5.75" customHeight="1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outlinePr summaryBelow="0" summaryRight="0"/>
    <pageSetUpPr fitToPage="1"/>
  </sheetPr>
  <dimension ref="A1:Z998"/>
  <sheetViews>
    <sheetView topLeftCell="B1"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37.140625" customWidth="1"/>
    <col min="4" max="4" width="30.85546875" customWidth="1"/>
    <col min="5" max="5" width="25.140625" customWidth="1"/>
    <col min="6" max="13" width="12.5703125" hidden="1"/>
    <col min="14" max="14" width="93.85546875" customWidth="1"/>
    <col min="15" max="26" width="12.5703125" hidden="1"/>
  </cols>
  <sheetData>
    <row r="1" spans="1:26" ht="32.450000000000003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210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IFERROR(__xludf.DUMMYFUNCTION("QUERY(P2:S999,""SELECT * WHERE R IS NOT NULL AND R !='Horse Name' Order By P"")"),50)</f>
        <v>50</v>
      </c>
      <c r="B2" s="25" t="str">
        <f ca="1">IFERROR(__xludf.DUMMYFUNCTION("""COMPUTED_VALUE"""),"John Rose")</f>
        <v>John Rose</v>
      </c>
      <c r="C2" s="25" t="str">
        <f ca="1">IFERROR(__xludf.DUMMYFUNCTION("""COMPUTED_VALUE"""),"G &amp; B's Deuces Wild")</f>
        <v>G &amp; B's Deuces Wild</v>
      </c>
      <c r="D2" s="25" t="str">
        <f ca="1">IFERROR(__xludf.DUMMYFUNCTION("""COMPUTED_VALUE"""),"Sharma Brown")</f>
        <v>Sharma Brown</v>
      </c>
      <c r="E2" s="25">
        <v>5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IFERROR(__xludf.DUMMYFUNCTION("""COMPUTED_VALUE"""),300)</f>
        <v>300</v>
      </c>
      <c r="Q2" s="25" t="str">
        <f ca="1">IFERROR(__xludf.DUMMYFUNCTION("""COMPUTED_VALUE"""),"Allison Jones")</f>
        <v>Allison Jones</v>
      </c>
      <c r="R2" s="25" t="str">
        <f ca="1">IFERROR(__xludf.DUMMYFUNCTION("""COMPUTED_VALUE"""),"Silver's Meteor Shower")</f>
        <v>Silver's Meteor Shower</v>
      </c>
      <c r="S2" s="25" t="str">
        <f ca="1">IFERROR(__xludf.DUMMYFUNCTION("""COMPUTED_VALUE"""),"Allison Jones")</f>
        <v>Allison Jones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IFERROR(__xludf.DUMMYFUNCTION("""COMPUTED_VALUE"""),81)</f>
        <v>81</v>
      </c>
      <c r="B3" s="25" t="str">
        <f ca="1">IFERROR(__xludf.DUMMYFUNCTION("""COMPUTED_VALUE"""),"Greg Brewer")</f>
        <v>Greg Brewer</v>
      </c>
      <c r="C3" s="25" t="str">
        <f ca="1">IFERROR(__xludf.DUMMYFUNCTION("""COMPUTED_VALUE"""),"KJ’S Covington Steele")</f>
        <v>KJ’S Covington Steele</v>
      </c>
      <c r="D3" s="25" t="str">
        <f ca="1">IFERROR(__xludf.DUMMYFUNCTION("""COMPUTED_VALUE"""),"Keith Johnson")</f>
        <v>Keith Johnson</v>
      </c>
      <c r="E3" s="25">
        <v>2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IFERROR(__xludf.DUMMYFUNCTION("""COMPUTED_VALUE"""),624)</f>
        <v>624</v>
      </c>
      <c r="Q3" s="25" t="str">
        <f ca="1">IFERROR(__xludf.DUMMYFUNCTION("""COMPUTED_VALUE"""),"McKayla Hill")</f>
        <v>McKayla Hill</v>
      </c>
      <c r="R3" s="25" t="str">
        <f ca="1">IFERROR(__xludf.DUMMYFUNCTION("""COMPUTED_VALUE"""),"DNS Turbo Charge")</f>
        <v>DNS Turbo Charge</v>
      </c>
      <c r="S3" s="25" t="str">
        <f ca="1">IFERROR(__xludf.DUMMYFUNCTION("""COMPUTED_VALUE"""),"Nicole Jones")</f>
        <v>Nicole Jones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IFERROR(__xludf.DUMMYFUNCTION("""COMPUTED_VALUE"""),300)</f>
        <v>300</v>
      </c>
      <c r="B4" s="25" t="str">
        <f ca="1">IFERROR(__xludf.DUMMYFUNCTION("""COMPUTED_VALUE"""),"Allison Jones")</f>
        <v>Allison Jones</v>
      </c>
      <c r="C4" s="25" t="str">
        <f ca="1">IFERROR(__xludf.DUMMYFUNCTION("""COMPUTED_VALUE"""),"Silver's Meteor Shower")</f>
        <v>Silver's Meteor Shower</v>
      </c>
      <c r="D4" s="25" t="str">
        <f ca="1">IFERROR(__xludf.DUMMYFUNCTION("""COMPUTED_VALUE"""),"Allison Jones")</f>
        <v>Allison Jones</v>
      </c>
      <c r="E4" s="25">
        <v>3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IFERROR(__xludf.DUMMYFUNCTION("""COMPUTED_VALUE"""),50)</f>
        <v>50</v>
      </c>
      <c r="Q4" s="25" t="str">
        <f ca="1">IFERROR(__xludf.DUMMYFUNCTION("""COMPUTED_VALUE"""),"John Rose")</f>
        <v>John Rose</v>
      </c>
      <c r="R4" s="25" t="str">
        <f ca="1">IFERROR(__xludf.DUMMYFUNCTION("""COMPUTED_VALUE"""),"G &amp; B's Deuces Wild")</f>
        <v>G &amp; B's Deuces Wild</v>
      </c>
      <c r="S4" s="25" t="str">
        <f ca="1">IFERROR(__xludf.DUMMYFUNCTION("""COMPUTED_VALUE"""),"Sharma Brown")</f>
        <v>Sharma Brown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IFERROR(__xludf.DUMMYFUNCTION("""COMPUTED_VALUE"""),624)</f>
        <v>624</v>
      </c>
      <c r="B5" s="25" t="str">
        <f ca="1">IFERROR(__xludf.DUMMYFUNCTION("""COMPUTED_VALUE"""),"McKayla Hill")</f>
        <v>McKayla Hill</v>
      </c>
      <c r="C5" s="25" t="str">
        <f ca="1">IFERROR(__xludf.DUMMYFUNCTION("""COMPUTED_VALUE"""),"DNS Turbo Charge")</f>
        <v>DNS Turbo Charge</v>
      </c>
      <c r="D5" s="25" t="str">
        <f ca="1">IFERROR(__xludf.DUMMYFUNCTION("""COMPUTED_VALUE"""),"Nicole Jones")</f>
        <v>Nicole Jones</v>
      </c>
      <c r="E5" s="25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IFERROR(__xludf.DUMMYFUNCTION("""COMPUTED_VALUE"""),833)</f>
        <v>833</v>
      </c>
      <c r="Q5" s="25" t="str">
        <f ca="1">IFERROR(__xludf.DUMMYFUNCTION("""COMPUTED_VALUE"""),"Charlie DeAtley")</f>
        <v>Charlie DeAtley</v>
      </c>
      <c r="R5" s="25" t="str">
        <f ca="1">IFERROR(__xludf.DUMMYFUNCTION("""COMPUTED_VALUE"""),"R &amp; B Choco Pock’s Marietta")</f>
        <v>R &amp; B Choco Pock’s Marietta</v>
      </c>
      <c r="S5" s="25" t="str">
        <f ca="1">IFERROR(__xludf.DUMMYFUNCTION("""COMPUTED_VALUE"""),"Steve &amp; Susan Heuslein")</f>
        <v>Steve &amp; Susan Heuslein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IFERROR(__xludf.DUMMYFUNCTION("""COMPUTED_VALUE"""),833)</f>
        <v>833</v>
      </c>
      <c r="B6" s="25" t="str">
        <f ca="1">IFERROR(__xludf.DUMMYFUNCTION("""COMPUTED_VALUE"""),"Charlie DeAtley")</f>
        <v>Charlie DeAtley</v>
      </c>
      <c r="C6" s="25" t="str">
        <f ca="1">IFERROR(__xludf.DUMMYFUNCTION("""COMPUTED_VALUE"""),"R &amp; B Choco Pock’s Marietta")</f>
        <v>R &amp; B Choco Pock’s Marietta</v>
      </c>
      <c r="D6" s="25" t="str">
        <f ca="1">IFERROR(__xludf.DUMMYFUNCTION("""COMPUTED_VALUE"""),"Steve &amp; Susan Heuslein")</f>
        <v>Steve &amp; Susan Heuslein</v>
      </c>
      <c r="E6" s="25">
        <v>6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IFERROR(__xludf.DUMMYFUNCTION("""COMPUTED_VALUE"""),955)</f>
        <v>955</v>
      </c>
      <c r="Q6" s="25" t="str">
        <f ca="1">IFERROR(__xludf.DUMMYFUNCTION("""COMPUTED_VALUE"""),"Donald Smith")</f>
        <v>Donald Smith</v>
      </c>
      <c r="R6" s="25" t="str">
        <f ca="1">IFERROR(__xludf.DUMMYFUNCTION("""COMPUTED_VALUE"""),"MVF Mr. Big Stuff")</f>
        <v>MVF Mr. Big Stuff</v>
      </c>
      <c r="S6" s="25" t="str">
        <f ca="1">IFERROR(__xludf.DUMMYFUNCTION("""COMPUTED_VALUE"""),"Andrew Byrd")</f>
        <v>Andrew Byrd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>
        <f ca="1">IFERROR(__xludf.DUMMYFUNCTION("""COMPUTED_VALUE"""),955)</f>
        <v>955</v>
      </c>
      <c r="B7" s="25" t="str">
        <f ca="1">IFERROR(__xludf.DUMMYFUNCTION("""COMPUTED_VALUE"""),"Donald Smith")</f>
        <v>Donald Smith</v>
      </c>
      <c r="C7" s="25" t="str">
        <f ca="1">IFERROR(__xludf.DUMMYFUNCTION("""COMPUTED_VALUE"""),"MVF Mr. Big Stuff")</f>
        <v>MVF Mr. Big Stuff</v>
      </c>
      <c r="D7" s="25" t="str">
        <f ca="1">IFERROR(__xludf.DUMMYFUNCTION("""COMPUTED_VALUE"""),"Andrew Byrd")</f>
        <v>Andrew Byrd</v>
      </c>
      <c r="E7" s="25">
        <v>4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IFERROR(__xludf.DUMMYFUNCTION("""COMPUTED_VALUE"""),81)</f>
        <v>81</v>
      </c>
      <c r="Q7" s="25" t="str">
        <f ca="1">IFERROR(__xludf.DUMMYFUNCTION("""COMPUTED_VALUE"""),"Greg Brewer")</f>
        <v>Greg Brewer</v>
      </c>
      <c r="R7" s="25" t="str">
        <f ca="1">IFERROR(__xludf.DUMMYFUNCTION("""COMPUTED_VALUE"""),"KJ’S Covington Steele")</f>
        <v>KJ’S Covington Steele</v>
      </c>
      <c r="S7" s="25" t="str">
        <f ca="1">IFERROR(__xludf.DUMMYFUNCTION("""COMPUTED_VALUE"""),"Keith Johnson")</f>
        <v>Keith Johnson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2 Name")</f>
        <v>Rider 2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3 Name")</f>
        <v>Rider 3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5 Name")</f>
        <v>Rider 5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 t="str">
        <f ca="1">IFERROR(__xludf.DUMMYFUNCTION("""COMPUTED_VALUE"""),"Back Number")</f>
        <v>Back Number</v>
      </c>
      <c r="Q11" s="25" t="str">
        <f ca="1">IFERROR(__xludf.DUMMYFUNCTION("""COMPUTED_VALUE"""),"Rider 6 Name")</f>
        <v>Rider 6 Name</v>
      </c>
      <c r="R11" s="25" t="str">
        <f ca="1">IFERROR(__xludf.DUMMYFUNCTION("""COMPUTED_VALUE"""),"Horse Name")</f>
        <v>Horse Name</v>
      </c>
      <c r="S11" s="25" t="str">
        <f ca="1">IFERROR(__xludf.DUMMYFUNCTION("""COMPUTED_VALUE"""),"Owner")</f>
        <v>Owner</v>
      </c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 x14ac:dyDescent="0.2">
      <c r="A41" s="16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5.75" customHeight="1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outlinePr summaryBelow="0" summaryRight="0"/>
    <pageSetUpPr fitToPage="1"/>
  </sheetPr>
  <dimension ref="A1:Z39"/>
  <sheetViews>
    <sheetView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26.42578125" customWidth="1"/>
    <col min="4" max="5" width="25.140625" customWidth="1"/>
    <col min="6" max="13" width="12.5703125" hidden="1"/>
    <col min="14" max="14" width="93.85546875" customWidth="1"/>
    <col min="15" max="22" width="0" hidden="1" customWidth="1"/>
  </cols>
  <sheetData>
    <row r="1" spans="1:26" ht="33.6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211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IFERROR(__xludf.DUMMYFUNCTION("QUERY(P2:S998,""SELECT * WHERE R IS NOT NULL AND R !='Horse Name' Order By P"")"),"248")</f>
        <v>248</v>
      </c>
      <c r="B2" s="25" t="str">
        <f ca="1">IFERROR(__xludf.DUMMYFUNCTION("""COMPUTED_VALUE"""),"Jacob Park")</f>
        <v>Jacob Park</v>
      </c>
      <c r="C2" s="25" t="str">
        <f ca="1">IFERROR(__xludf.DUMMYFUNCTION("""COMPUTED_VALUE"""),"GHS's Southern Fusion")</f>
        <v>GHS's Southern Fusion</v>
      </c>
      <c r="D2" s="25" t="str">
        <f ca="1">IFERROR(__xludf.DUMMYFUNCTION("""COMPUTED_VALUE"""),"Greathouse Stables")</f>
        <v>Greathouse Stables</v>
      </c>
      <c r="E2" s="25">
        <v>1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IFERROR(__xludf.DUMMYFUNCTION("""COMPUTED_VALUE"""),454)</f>
        <v>454</v>
      </c>
      <c r="Q2" s="25" t="str">
        <f ca="1">IFERROR(__xludf.DUMMYFUNCTION("""COMPUTED_VALUE"""),"LaTasha Johnson")</f>
        <v>LaTasha Johnson</v>
      </c>
      <c r="R2" s="25" t="str">
        <f ca="1">IFERROR(__xludf.DUMMYFUNCTION("""COMPUTED_VALUE"""),"Rocking The Night Away")</f>
        <v>Rocking The Night Away</v>
      </c>
      <c r="S2" s="25" t="str">
        <f ca="1">IFERROR(__xludf.DUMMYFUNCTION("""COMPUTED_VALUE"""),"LaTasha Johnson")</f>
        <v>LaTasha Johnson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IFERROR(__xludf.DUMMYFUNCTION("""COMPUTED_VALUE"""),"420")</f>
        <v>420</v>
      </c>
      <c r="B3" s="25" t="str">
        <f ca="1">IFERROR(__xludf.DUMMYFUNCTION("""COMPUTED_VALUE"""),"Sydney Agee")</f>
        <v>Sydney Agee</v>
      </c>
      <c r="C3" s="25" t="str">
        <f ca="1">IFERROR(__xludf.DUMMYFUNCTION("""COMPUTED_VALUE"""),"Rockin R Imagine That")</f>
        <v>Rockin R Imagine That</v>
      </c>
      <c r="D3" s="25" t="str">
        <f ca="1">IFERROR(__xludf.DUMMYFUNCTION("""COMPUTED_VALUE"""),"Sydney Agee")</f>
        <v>Sydney Agee</v>
      </c>
      <c r="E3" s="25">
        <v>4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IFERROR(__xludf.DUMMYFUNCTION("""COMPUTED_VALUE"""),248)</f>
        <v>248</v>
      </c>
      <c r="Q3" s="25" t="str">
        <f ca="1">IFERROR(__xludf.DUMMYFUNCTION("""COMPUTED_VALUE"""),"Jacob Park")</f>
        <v>Jacob Park</v>
      </c>
      <c r="R3" s="25" t="str">
        <f ca="1">IFERROR(__xludf.DUMMYFUNCTION("""COMPUTED_VALUE"""),"GHS's Southern Fusion")</f>
        <v>GHS's Southern Fusion</v>
      </c>
      <c r="S3" s="25" t="str">
        <f ca="1">IFERROR(__xludf.DUMMYFUNCTION("""COMPUTED_VALUE"""),"Greathouse Stables")</f>
        <v>Greathouse Stables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5" t="str">
        <f ca="1">IFERROR(__xludf.DUMMYFUNCTION("""COMPUTED_VALUE"""),"441")</f>
        <v>441</v>
      </c>
      <c r="B4" s="25" t="str">
        <f ca="1">IFERROR(__xludf.DUMMYFUNCTION("""COMPUTED_VALUE"""),"Alexis Flynn")</f>
        <v>Alexis Flynn</v>
      </c>
      <c r="C4" s="25" t="str">
        <f ca="1">IFERROR(__xludf.DUMMYFUNCTION("""COMPUTED_VALUE"""),"K.O. Amazing Grace")</f>
        <v>K.O. Amazing Grace</v>
      </c>
      <c r="D4" s="25" t="str">
        <f ca="1">IFERROR(__xludf.DUMMYFUNCTION("""COMPUTED_VALUE"""),"John Flynn")</f>
        <v>John Flynn</v>
      </c>
      <c r="E4" s="25">
        <v>3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IFERROR(__xludf.DUMMYFUNCTION("""COMPUTED_VALUE"""),441)</f>
        <v>441</v>
      </c>
      <c r="Q4" s="25" t="str">
        <f ca="1">IFERROR(__xludf.DUMMYFUNCTION("""COMPUTED_VALUE"""),"Alexis Flynn")</f>
        <v>Alexis Flynn</v>
      </c>
      <c r="R4" s="25" t="str">
        <f ca="1">IFERROR(__xludf.DUMMYFUNCTION("""COMPUTED_VALUE"""),"K.O. Amazing Grace")</f>
        <v>K.O. Amazing Grace</v>
      </c>
      <c r="S4" s="25" t="str">
        <f ca="1">IFERROR(__xludf.DUMMYFUNCTION("""COMPUTED_VALUE"""),"John Flynn")</f>
        <v>John Flynn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 t="str">
        <f ca="1">IFERROR(__xludf.DUMMYFUNCTION("""COMPUTED_VALUE"""),"454")</f>
        <v>454</v>
      </c>
      <c r="B5" s="25" t="str">
        <f ca="1">IFERROR(__xludf.DUMMYFUNCTION("""COMPUTED_VALUE"""),"LaTasha Johnson")</f>
        <v>LaTasha Johnson</v>
      </c>
      <c r="C5" s="25" t="str">
        <f ca="1">IFERROR(__xludf.DUMMYFUNCTION("""COMPUTED_VALUE"""),"Rocking The Night Away")</f>
        <v>Rocking The Night Away</v>
      </c>
      <c r="D5" s="25" t="str">
        <f ca="1">IFERROR(__xludf.DUMMYFUNCTION("""COMPUTED_VALUE"""),"LaTasha Johnson")</f>
        <v>LaTasha Johnson</v>
      </c>
      <c r="E5" s="25">
        <v>2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2 Name")</f>
        <v>Rider 2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>
        <f ca="1">IFERROR(__xludf.DUMMYFUNCTION("""COMPUTED_VALUE"""),420)</f>
        <v>420</v>
      </c>
      <c r="Q6" s="25" t="str">
        <f ca="1">IFERROR(__xludf.DUMMYFUNCTION("""COMPUTED_VALUE"""),"Sydney Agee")</f>
        <v>Sydney Agee</v>
      </c>
      <c r="R6" s="25" t="str">
        <f ca="1">IFERROR(__xludf.DUMMYFUNCTION("""COMPUTED_VALUE"""),"Rockin R Imagine That")</f>
        <v>Rockin R Imagine That</v>
      </c>
      <c r="S6" s="25" t="str">
        <f ca="1">IFERROR(__xludf.DUMMYFUNCTION("""COMPUTED_VALUE"""),"Sydney Agee")</f>
        <v>Sydney Agee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 t="str">
        <f ca="1">IFERROR(__xludf.DUMMYFUNCTION("""COMPUTED_VALUE"""),"Back Number")</f>
        <v>Back Number</v>
      </c>
      <c r="Q7" s="25" t="str">
        <f ca="1">IFERROR(__xludf.DUMMYFUNCTION("""COMPUTED_VALUE"""),"Rider 4 Name")</f>
        <v>Rider 4 Name</v>
      </c>
      <c r="R7" s="25" t="str">
        <f ca="1">IFERROR(__xludf.DUMMYFUNCTION("""COMPUTED_VALUE"""),"Horse Name")</f>
        <v>Horse Name</v>
      </c>
      <c r="S7" s="25" t="str">
        <f ca="1">IFERROR(__xludf.DUMMYFUNCTION("""COMPUTED_VALUE"""),"Owner")</f>
        <v>Owner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5 Name")</f>
        <v>Rider 5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6 Name")</f>
        <v>Rider 6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outlinePr summaryBelow="0" summaryRight="0"/>
    <pageSetUpPr fitToPage="1"/>
  </sheetPr>
  <dimension ref="A1:Z40"/>
  <sheetViews>
    <sheetView workbookViewId="0">
      <selection activeCell="N2" sqref="N2"/>
    </sheetView>
  </sheetViews>
  <sheetFormatPr defaultColWidth="12.5703125" defaultRowHeight="15.75" customHeight="1" x14ac:dyDescent="0.2"/>
  <cols>
    <col min="1" max="4" width="25.140625" customWidth="1"/>
    <col min="5" max="5" width="18.5703125" customWidth="1"/>
    <col min="6" max="13" width="12.5703125" hidden="1"/>
    <col min="14" max="14" width="93.85546875" customWidth="1"/>
    <col min="15" max="18" width="0" hidden="1" customWidth="1"/>
    <col min="19" max="19" width="79.5703125" hidden="1" customWidth="1"/>
  </cols>
  <sheetData>
    <row r="1" spans="1:26" ht="33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212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5" t="str">
        <f ca="1">IFERROR(__xludf.DUMMYFUNCTION("QUERY(P2:S999,""SELECT * WHERE R IS NOT NULL AND R !='Horse Name' Order By P"")"),"Back Number")</f>
        <v>Back Number</v>
      </c>
      <c r="B2" s="25" t="str">
        <f ca="1">IFERROR(__xludf.DUMMYFUNCTION("""COMPUTED_VALUE"""),"Rider 2 Name")</f>
        <v>Rider 2 Name</v>
      </c>
      <c r="C2" s="25" t="str">
        <f ca="1">IFERROR(__xludf.DUMMYFUNCTION("""COMPUTED_VALUE"""),"Horse Name")</f>
        <v>Horse Name</v>
      </c>
      <c r="D2" s="25" t="str">
        <f ca="1">IFERROR(__xludf.DUMMYFUNCTION("""COMPUTED_VALUE"""),"Owner")</f>
        <v>Owner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 t="str">
        <f ca="1">IFERROR(__xludf.DUMMYFUNCTION("""COMPUTED_VALUE"""),"Back Number")</f>
        <v>Back Number</v>
      </c>
      <c r="Q2" s="25" t="str">
        <f ca="1">IFERROR(__xludf.DUMMYFUNCTION("""COMPUTED_VALUE"""),"Rider 2 Name")</f>
        <v>Rider 2 Name</v>
      </c>
      <c r="R2" s="25" t="str">
        <f ca="1">IFERROR(__xludf.DUMMYFUNCTION("""COMPUTED_VALUE"""),"Horse Name")</f>
        <v>Horse Name</v>
      </c>
      <c r="S2" s="25" t="str">
        <f ca="1">IFERROR(__xludf.DUMMYFUNCTION("""COMPUTED_VALUE"""),"Owner")</f>
        <v>Owner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5" t="str">
        <f ca="1">IFERROR(__xludf.DUMMYFUNCTION("""COMPUTED_VALUE"""),"806")</f>
        <v>806</v>
      </c>
      <c r="B3" s="25" t="str">
        <f ca="1">IFERROR(__xludf.DUMMYFUNCTION("""COMPUTED_VALUE"""),"Olivia Warner")</f>
        <v>Olivia Warner</v>
      </c>
      <c r="C3" s="25" t="str">
        <f ca="1">IFERROR(__xludf.DUMMYFUNCTION("""COMPUTED_VALUE"""),"She's All Mine")</f>
        <v>She's All Mine</v>
      </c>
      <c r="D3" s="25" t="str">
        <f ca="1">IFERROR(__xludf.DUMMYFUNCTION("""COMPUTED_VALUE"""),"Brenda Watson")</f>
        <v>Brenda Watson</v>
      </c>
      <c r="E3" s="25">
        <v>1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IFERROR(__xludf.DUMMYFUNCTION("""COMPUTED_VALUE"""),806)</f>
        <v>806</v>
      </c>
      <c r="Q3" s="25" t="str">
        <f ca="1">IFERROR(__xludf.DUMMYFUNCTION("""COMPUTED_VALUE"""),"Olivia Warner")</f>
        <v>Olivia Warner</v>
      </c>
      <c r="R3" s="25" t="str">
        <f ca="1">IFERROR(__xludf.DUMMYFUNCTION("""COMPUTED_VALUE"""),"She's All Mine")</f>
        <v>She's All Mine</v>
      </c>
      <c r="S3" s="25" t="str">
        <f ca="1">IFERROR(__xludf.DUMMYFUNCTION("""COMPUTED_VALUE"""),"Brenda Watson")</f>
        <v>Brenda Watson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 t="str">
        <f ca="1">IFERROR(__xludf.DUMMYFUNCTION("""COMPUTED_VALUE"""),"Back Number")</f>
        <v>Back Number</v>
      </c>
      <c r="Q4" s="25" t="str">
        <f ca="1">IFERROR(__xludf.DUMMYFUNCTION("""COMPUTED_VALUE"""),"Rider 3 Name")</f>
        <v>Rider 3 Name</v>
      </c>
      <c r="R4" s="25" t="str">
        <f ca="1">IFERROR(__xludf.DUMMYFUNCTION("""COMPUTED_VALUE"""),"Horse Name")</f>
        <v>Horse Name</v>
      </c>
      <c r="S4" s="25" t="str">
        <f ca="1">IFERROR(__xludf.DUMMYFUNCTION("""COMPUTED_VALUE"""),"Owner")</f>
        <v>Owner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 t="str">
        <f ca="1">IFERROR(__xludf.DUMMYFUNCTION("""COMPUTED_VALUE"""),"Back Number")</f>
        <v>Back Number</v>
      </c>
      <c r="Q5" s="25" t="str">
        <f ca="1">IFERROR(__xludf.DUMMYFUNCTION("""COMPUTED_VALUE"""),"Rider 4 Name")</f>
        <v>Rider 4 Name</v>
      </c>
      <c r="R5" s="25" t="str">
        <f ca="1">IFERROR(__xludf.DUMMYFUNCTION("""COMPUTED_VALUE"""),"Horse Name")</f>
        <v>Horse Name</v>
      </c>
      <c r="S5" s="25" t="str">
        <f ca="1">IFERROR(__xludf.DUMMYFUNCTION("""COMPUTED_VALUE"""),"Owner")</f>
        <v>Owner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5 Name")</f>
        <v>Rider 5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outlinePr summaryBelow="0" summaryRight="0"/>
    <pageSetUpPr fitToPage="1"/>
  </sheetPr>
  <dimension ref="A1:Z998"/>
  <sheetViews>
    <sheetView workbookViewId="0">
      <selection activeCell="N2" sqref="N2"/>
    </sheetView>
  </sheetViews>
  <sheetFormatPr defaultColWidth="12.5703125" defaultRowHeight="15.75" customHeight="1" x14ac:dyDescent="0.2"/>
  <cols>
    <col min="1" max="2" width="25.140625" customWidth="1"/>
    <col min="3" max="3" width="42" customWidth="1"/>
    <col min="4" max="5" width="25.140625" customWidth="1"/>
    <col min="6" max="13" width="12.5703125" hidden="1"/>
    <col min="14" max="14" width="84.42578125" customWidth="1"/>
    <col min="15" max="18" width="12.5703125" hidden="1"/>
    <col min="19" max="19" width="79.5703125" hidden="1" customWidth="1"/>
    <col min="20" max="26" width="12.5703125" hidden="1"/>
  </cols>
  <sheetData>
    <row r="1" spans="1:26" ht="34.5" customHeight="1" x14ac:dyDescent="0.35">
      <c r="A1" s="17" t="s">
        <v>1</v>
      </c>
      <c r="B1" s="18" t="s">
        <v>189</v>
      </c>
      <c r="C1" s="18" t="s">
        <v>2</v>
      </c>
      <c r="D1" s="18" t="s">
        <v>8</v>
      </c>
      <c r="E1" s="18" t="s">
        <v>190</v>
      </c>
      <c r="N1" s="30" t="s">
        <v>78</v>
      </c>
      <c r="P1" s="1" t="str">
        <f ca="1">IFERROR(__xludf.DUMMYFUNCTION("{
 QUERY(Registration!B:AR, ""Select B, P, C, I where S contains '""&amp;N1&amp;""'"",1);
 QUERY(Registration!B:AR, ""Select B, U, C, I where X contains '""&amp;N1&amp;""'"",1);
 QUERY(Registration!B:AR, ""Select B, Z, C, I where AC contains '""&amp;N1&amp;""'"",1);
 QUERY(Regis"&amp;"tration!B:AR, ""Select B, AE, C, I where AH contains '""&amp;N1&amp;""'"",1);
 QUERY(Registration!B:AR, ""Select B, AJ, C, I where AM contains '""&amp;N1&amp;""'"",1);
 QUERY(Registration!B:AR, ""Select B, AO, C, I where AR contains '""&amp;N1&amp;""'"",1)
 }"),"Back Number")</f>
        <v>Back Number</v>
      </c>
      <c r="Q1" s="1" t="str">
        <f ca="1">IFERROR(__xludf.DUMMYFUNCTION("""COMPUTED_VALUE"""),"Rider 1 Name")</f>
        <v>Rider 1 Name</v>
      </c>
      <c r="R1" s="1" t="str">
        <f ca="1">IFERROR(__xludf.DUMMYFUNCTION("""COMPUTED_VALUE"""),"Horse Name")</f>
        <v>Horse Name</v>
      </c>
      <c r="S1" s="1" t="str">
        <f ca="1">IFERROR(__xludf.DUMMYFUNCTION("""COMPUTED_VALUE"""),"Owner")</f>
        <v>Owner</v>
      </c>
    </row>
    <row r="2" spans="1:26" ht="15.75" customHeight="1" x14ac:dyDescent="0.25">
      <c r="A2" s="24">
        <f ca="1">IFERROR(__xludf.DUMMYFUNCTION("QUERY(P2:S999,""SELECT * WHERE R IS NOT NULL AND R !='Horse Name' Order By P"")"),131)</f>
        <v>131</v>
      </c>
      <c r="B2" s="25" t="str">
        <f ca="1">IFERROR(__xludf.DUMMYFUNCTION("""COMPUTED_VALUE"""),"Andrea Crawford")</f>
        <v>Andrea Crawford</v>
      </c>
      <c r="C2" s="25" t="str">
        <f ca="1">IFERROR(__xludf.DUMMYFUNCTION("""COMPUTED_VALUE"""),"Lena's Smokin Promise")</f>
        <v>Lena's Smokin Promise</v>
      </c>
      <c r="D2" s="25" t="str">
        <f ca="1">IFERROR(__xludf.DUMMYFUNCTION("""COMPUTED_VALUE"""),"Tom Arnold")</f>
        <v>Tom Arnold</v>
      </c>
      <c r="E2" s="25">
        <v>2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>
        <f ca="1">IFERROR(__xludf.DUMMYFUNCTION("""COMPUTED_VALUE"""),901.1)</f>
        <v>901.1</v>
      </c>
      <c r="Q2" s="25" t="str">
        <f ca="1">IFERROR(__xludf.DUMMYFUNCTION("""COMPUTED_VALUE"""),"Cheryl Adkins")</f>
        <v>Cheryl Adkins</v>
      </c>
      <c r="R2" s="25" t="str">
        <f ca="1">IFERROR(__xludf.DUMMYFUNCTION("""COMPUTED_VALUE"""),"GHS's Been A Long Time Coming")</f>
        <v>GHS's Been A Long Time Coming</v>
      </c>
      <c r="S2" s="25" t="str">
        <f ca="1">IFERROR(__xludf.DUMMYFUNCTION("""COMPUTED_VALUE"""),"Dale Chu")</f>
        <v>Dale Chu</v>
      </c>
      <c r="T2" s="25"/>
      <c r="U2" s="25"/>
      <c r="V2" s="25"/>
      <c r="W2" s="25"/>
      <c r="X2" s="25"/>
      <c r="Y2" s="25"/>
      <c r="Z2" s="25"/>
    </row>
    <row r="3" spans="1:26" ht="15.75" customHeight="1" x14ac:dyDescent="0.25">
      <c r="A3" s="24">
        <f ca="1">IFERROR(__xludf.DUMMYFUNCTION("""COMPUTED_VALUE"""),250)</f>
        <v>250</v>
      </c>
      <c r="B3" s="25" t="str">
        <f ca="1">IFERROR(__xludf.DUMMYFUNCTION("""COMPUTED_VALUE"""),"Jacob Park")</f>
        <v>Jacob Park</v>
      </c>
      <c r="C3" s="25" t="str">
        <f ca="1">IFERROR(__xludf.DUMMYFUNCTION("""COMPUTED_VALUE"""),"GHS's Walk a Fine Line")</f>
        <v>GHS's Walk a Fine Line</v>
      </c>
      <c r="D3" s="25" t="str">
        <f ca="1">IFERROR(__xludf.DUMMYFUNCTION("""COMPUTED_VALUE"""),"Greathouse Stables")</f>
        <v>Greathouse Stables</v>
      </c>
      <c r="E3" s="25">
        <v>5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>
        <f ca="1">IFERROR(__xludf.DUMMYFUNCTION("""COMPUTED_VALUE"""),250)</f>
        <v>250</v>
      </c>
      <c r="Q3" s="25" t="str">
        <f ca="1">IFERROR(__xludf.DUMMYFUNCTION("""COMPUTED_VALUE"""),"Jacob Park")</f>
        <v>Jacob Park</v>
      </c>
      <c r="R3" s="25" t="str">
        <f ca="1">IFERROR(__xludf.DUMMYFUNCTION("""COMPUTED_VALUE"""),"GHS's Walk a Fine Line")</f>
        <v>GHS's Walk a Fine Line</v>
      </c>
      <c r="S3" s="25" t="str">
        <f ca="1">IFERROR(__xludf.DUMMYFUNCTION("""COMPUTED_VALUE"""),"Greathouse Stables")</f>
        <v>Greathouse Stables</v>
      </c>
      <c r="T3" s="25"/>
      <c r="U3" s="25"/>
      <c r="V3" s="25"/>
      <c r="W3" s="25"/>
      <c r="X3" s="25"/>
      <c r="Y3" s="25"/>
      <c r="Z3" s="25"/>
    </row>
    <row r="4" spans="1:26" ht="15.75" customHeight="1" x14ac:dyDescent="0.25">
      <c r="A4" s="24">
        <f ca="1">IFERROR(__xludf.DUMMYFUNCTION("""COMPUTED_VALUE"""),642)</f>
        <v>642</v>
      </c>
      <c r="B4" s="25" t="str">
        <f ca="1">IFERROR(__xludf.DUMMYFUNCTION("""COMPUTED_VALUE"""),"Makayla Hill")</f>
        <v>Makayla Hill</v>
      </c>
      <c r="C4" s="25" t="str">
        <f ca="1">IFERROR(__xludf.DUMMYFUNCTION("""COMPUTED_VALUE"""),"Cypress Star Ace")</f>
        <v>Cypress Star Ace</v>
      </c>
      <c r="D4" s="25" t="str">
        <f ca="1">IFERROR(__xludf.DUMMYFUNCTION("""COMPUTED_VALUE"""),"Rocky Creek Farm")</f>
        <v>Rocky Creek Farm</v>
      </c>
      <c r="E4" s="25">
        <v>1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>
        <f ca="1">IFERROR(__xludf.DUMMYFUNCTION("""COMPUTED_VALUE"""),642)</f>
        <v>642</v>
      </c>
      <c r="Q4" s="25" t="str">
        <f ca="1">IFERROR(__xludf.DUMMYFUNCTION("""COMPUTED_VALUE"""),"Makayla Hill")</f>
        <v>Makayla Hill</v>
      </c>
      <c r="R4" s="25" t="str">
        <f ca="1">IFERROR(__xludf.DUMMYFUNCTION("""COMPUTED_VALUE"""),"Cypress Star Ace")</f>
        <v>Cypress Star Ace</v>
      </c>
      <c r="S4" s="25" t="str">
        <f ca="1">IFERROR(__xludf.DUMMYFUNCTION("""COMPUTED_VALUE"""),"Rocky Creek Farm")</f>
        <v>Rocky Creek Farm</v>
      </c>
      <c r="T4" s="25"/>
      <c r="U4" s="25"/>
      <c r="V4" s="25"/>
      <c r="W4" s="25"/>
      <c r="X4" s="25"/>
      <c r="Y4" s="25"/>
      <c r="Z4" s="25"/>
    </row>
    <row r="5" spans="1:26" ht="15.75" customHeight="1" x14ac:dyDescent="0.25">
      <c r="A5" s="24">
        <f ca="1">IFERROR(__xludf.DUMMYFUNCTION("""COMPUTED_VALUE"""),893)</f>
        <v>893</v>
      </c>
      <c r="B5" s="25" t="str">
        <f ca="1">IFERROR(__xludf.DUMMYFUNCTION("""COMPUTED_VALUE"""),"Shaun Lyon ")</f>
        <v xml:space="preserve">Shaun Lyon </v>
      </c>
      <c r="C5" s="25" t="str">
        <f ca="1">IFERROR(__xludf.DUMMYFUNCTION("""COMPUTED_VALUE"""),"Money Shot")</f>
        <v>Money Shot</v>
      </c>
      <c r="D5" s="25" t="str">
        <f ca="1">IFERROR(__xludf.DUMMYFUNCTION("""COMPUTED_VALUE"""),"Barbara Rector")</f>
        <v>Barbara Rector</v>
      </c>
      <c r="E5" s="25">
        <v>3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>
        <f ca="1">IFERROR(__xludf.DUMMYFUNCTION("""COMPUTED_VALUE"""),131)</f>
        <v>131</v>
      </c>
      <c r="Q5" s="25" t="str">
        <f ca="1">IFERROR(__xludf.DUMMYFUNCTION("""COMPUTED_VALUE"""),"Andrea Crawford")</f>
        <v>Andrea Crawford</v>
      </c>
      <c r="R5" s="25" t="str">
        <f ca="1">IFERROR(__xludf.DUMMYFUNCTION("""COMPUTED_VALUE"""),"Lena's Smokin Promise")</f>
        <v>Lena's Smokin Promise</v>
      </c>
      <c r="S5" s="25" t="str">
        <f ca="1">IFERROR(__xludf.DUMMYFUNCTION("""COMPUTED_VALUE"""),"Tom Arnold")</f>
        <v>Tom Arnold</v>
      </c>
      <c r="T5" s="25"/>
      <c r="U5" s="25"/>
      <c r="V5" s="25"/>
      <c r="W5" s="25"/>
      <c r="X5" s="25"/>
      <c r="Y5" s="25"/>
      <c r="Z5" s="25"/>
    </row>
    <row r="6" spans="1:26" ht="15.75" customHeight="1" x14ac:dyDescent="0.25">
      <c r="A6" s="24">
        <f ca="1">IFERROR(__xludf.DUMMYFUNCTION("""COMPUTED_VALUE"""),901.1)</f>
        <v>901.1</v>
      </c>
      <c r="B6" s="25" t="str">
        <f ca="1">IFERROR(__xludf.DUMMYFUNCTION("""COMPUTED_VALUE"""),"Cheryl Adkins")</f>
        <v>Cheryl Adkins</v>
      </c>
      <c r="C6" s="25" t="str">
        <f ca="1">IFERROR(__xludf.DUMMYFUNCTION("""COMPUTED_VALUE"""),"GHS's Been A Long Time Coming")</f>
        <v>GHS's Been A Long Time Coming</v>
      </c>
      <c r="D6" s="25" t="str">
        <f ca="1">IFERROR(__xludf.DUMMYFUNCTION("""COMPUTED_VALUE"""),"Dale Chu")</f>
        <v>Dale Chu</v>
      </c>
      <c r="E6" s="25">
        <v>4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 t="str">
        <f ca="1">IFERROR(__xludf.DUMMYFUNCTION("""COMPUTED_VALUE"""),"Back Number")</f>
        <v>Back Number</v>
      </c>
      <c r="Q6" s="25" t="str">
        <f ca="1">IFERROR(__xludf.DUMMYFUNCTION("""COMPUTED_VALUE"""),"Rider 2 Name")</f>
        <v>Rider 2 Name</v>
      </c>
      <c r="R6" s="25" t="str">
        <f ca="1">IFERROR(__xludf.DUMMYFUNCTION("""COMPUTED_VALUE"""),"Horse Name")</f>
        <v>Horse Name</v>
      </c>
      <c r="S6" s="25" t="str">
        <f ca="1">IFERROR(__xludf.DUMMYFUNCTION("""COMPUTED_VALUE"""),"Owner")</f>
        <v>Owner</v>
      </c>
      <c r="T6" s="25"/>
      <c r="U6" s="25"/>
      <c r="V6" s="25"/>
      <c r="W6" s="25"/>
      <c r="X6" s="25"/>
      <c r="Y6" s="25"/>
      <c r="Z6" s="25"/>
    </row>
    <row r="7" spans="1:26" ht="15.75" customHeight="1" x14ac:dyDescent="0.25">
      <c r="A7" s="24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f ca="1">IFERROR(__xludf.DUMMYFUNCTION("""COMPUTED_VALUE"""),893)</f>
        <v>893</v>
      </c>
      <c r="Q7" s="25" t="str">
        <f ca="1">IFERROR(__xludf.DUMMYFUNCTION("""COMPUTED_VALUE"""),"Shaun Lyon ")</f>
        <v xml:space="preserve">Shaun Lyon </v>
      </c>
      <c r="R7" s="25" t="str">
        <f ca="1">IFERROR(__xludf.DUMMYFUNCTION("""COMPUTED_VALUE"""),"Money Shot")</f>
        <v>Money Shot</v>
      </c>
      <c r="S7" s="25" t="str">
        <f ca="1">IFERROR(__xludf.DUMMYFUNCTION("""COMPUTED_VALUE"""),"Barbara Rector")</f>
        <v>Barbara Rector</v>
      </c>
      <c r="T7" s="25"/>
      <c r="U7" s="25"/>
      <c r="V7" s="25"/>
      <c r="W7" s="25"/>
      <c r="X7" s="25"/>
      <c r="Y7" s="25"/>
      <c r="Z7" s="25"/>
    </row>
    <row r="8" spans="1:26" ht="15.75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 t="str">
        <f ca="1">IFERROR(__xludf.DUMMYFUNCTION("""COMPUTED_VALUE"""),"Back Number")</f>
        <v>Back Number</v>
      </c>
      <c r="Q8" s="25" t="str">
        <f ca="1">IFERROR(__xludf.DUMMYFUNCTION("""COMPUTED_VALUE"""),"Rider 4 Name")</f>
        <v>Rider 4 Name</v>
      </c>
      <c r="R8" s="25" t="str">
        <f ca="1">IFERROR(__xludf.DUMMYFUNCTION("""COMPUTED_VALUE"""),"Horse Name")</f>
        <v>Horse Name</v>
      </c>
      <c r="S8" s="25" t="str">
        <f ca="1">IFERROR(__xludf.DUMMYFUNCTION("""COMPUTED_VALUE"""),"Owner")</f>
        <v>Owner</v>
      </c>
      <c r="T8" s="25"/>
      <c r="U8" s="25"/>
      <c r="V8" s="25"/>
      <c r="W8" s="25"/>
      <c r="X8" s="25"/>
      <c r="Y8" s="25"/>
      <c r="Z8" s="25"/>
    </row>
    <row r="9" spans="1:26" ht="15.7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 t="str">
        <f ca="1">IFERROR(__xludf.DUMMYFUNCTION("""COMPUTED_VALUE"""),"Back Number")</f>
        <v>Back Number</v>
      </c>
      <c r="Q9" s="25" t="str">
        <f ca="1">IFERROR(__xludf.DUMMYFUNCTION("""COMPUTED_VALUE"""),"Rider 5 Name")</f>
        <v>Rider 5 Name</v>
      </c>
      <c r="R9" s="25" t="str">
        <f ca="1">IFERROR(__xludf.DUMMYFUNCTION("""COMPUTED_VALUE"""),"Horse Name")</f>
        <v>Horse Name</v>
      </c>
      <c r="S9" s="25" t="str">
        <f ca="1">IFERROR(__xludf.DUMMYFUNCTION("""COMPUTED_VALUE"""),"Owner")</f>
        <v>Owner</v>
      </c>
      <c r="T9" s="25"/>
      <c r="U9" s="25"/>
      <c r="V9" s="25"/>
      <c r="W9" s="25"/>
      <c r="X9" s="25"/>
      <c r="Y9" s="25"/>
      <c r="Z9" s="25"/>
    </row>
    <row r="10" spans="1:26" ht="15.75" customHeight="1" x14ac:dyDescent="0.2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 t="str">
        <f ca="1">IFERROR(__xludf.DUMMYFUNCTION("""COMPUTED_VALUE"""),"Back Number")</f>
        <v>Back Number</v>
      </c>
      <c r="Q10" s="25" t="str">
        <f ca="1">IFERROR(__xludf.DUMMYFUNCTION("""COMPUTED_VALUE"""),"Rider 6 Name")</f>
        <v>Rider 6 Name</v>
      </c>
      <c r="R10" s="25" t="str">
        <f ca="1">IFERROR(__xludf.DUMMYFUNCTION("""COMPUTED_VALUE"""),"Horse Name")</f>
        <v>Horse Name</v>
      </c>
      <c r="S10" s="25" t="str">
        <f ca="1">IFERROR(__xludf.DUMMYFUNCTION("""COMPUTED_VALUE"""),"Owner")</f>
        <v>Owner</v>
      </c>
      <c r="T10" s="25"/>
      <c r="U10" s="25"/>
      <c r="V10" s="25"/>
      <c r="W10" s="25"/>
      <c r="X10" s="25"/>
      <c r="Y10" s="25"/>
      <c r="Z10" s="25"/>
    </row>
    <row r="11" spans="1:26" ht="15.75" customHeight="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 x14ac:dyDescent="0.25">
      <c r="A14" s="24"/>
      <c r="B14" s="25"/>
      <c r="C14" s="25"/>
      <c r="D14" s="25"/>
      <c r="E14" s="29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 x14ac:dyDescent="0.2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 x14ac:dyDescent="0.25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 x14ac:dyDescent="0.25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 x14ac:dyDescent="0.25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 x14ac:dyDescent="0.25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 x14ac:dyDescent="0.2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 x14ac:dyDescent="0.25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 x14ac:dyDescent="0.25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 x14ac:dyDescent="0.2">
      <c r="A41" s="16"/>
    </row>
    <row r="42" spans="1:26" ht="15.75" customHeight="1" x14ac:dyDescent="0.2">
      <c r="A42" s="16"/>
    </row>
    <row r="43" spans="1:26" ht="15.75" customHeight="1" x14ac:dyDescent="0.2">
      <c r="A43" s="16"/>
    </row>
    <row r="44" spans="1:26" ht="15.75" customHeight="1" x14ac:dyDescent="0.2">
      <c r="A44" s="16"/>
    </row>
    <row r="45" spans="1:26" ht="12.75" x14ac:dyDescent="0.2">
      <c r="A45" s="16"/>
    </row>
    <row r="46" spans="1:26" ht="12.75" x14ac:dyDescent="0.2">
      <c r="A46" s="16"/>
    </row>
    <row r="47" spans="1:26" ht="12.75" x14ac:dyDescent="0.2">
      <c r="A47" s="16"/>
    </row>
    <row r="48" spans="1:26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43</vt:i4>
      </vt:variant>
    </vt:vector>
  </HeadingPairs>
  <TitlesOfParts>
    <vt:vector size="43" baseType="lpstr">
      <vt:lpstr>Registration-orig</vt:lpstr>
      <vt:lpstr>1. LEAD LINE</vt:lpstr>
      <vt:lpstr>2. JUVENILE PLEASURE (No Stal)</vt:lpstr>
      <vt:lpstr>3. RMHA SHOW PLEASURE MARES &amp; G</vt:lpstr>
      <vt:lpstr>4. RMHA AMATEUR TRAIL PLEASURE</vt:lpstr>
      <vt:lpstr>5. RMHA YOUTH 12-17 SHOW PLEASU</vt:lpstr>
      <vt:lpstr>6. RMHA LADIES COUNTRY TRAIL PL</vt:lpstr>
      <vt:lpstr>7. RMHA 3 YEAR OLD SHOW PLEASUR</vt:lpstr>
      <vt:lpstr>8. RMHA TRAIL PLEASURE MARES &amp; </vt:lpstr>
      <vt:lpstr>9. JACK BENNY (55 &amp; OVER) WALK,</vt:lpstr>
      <vt:lpstr>10. RMHA 11 AND UNDER TRAIL PLE</vt:lpstr>
      <vt:lpstr>11. RMHA SHOW PLEASURE STALLION</vt:lpstr>
      <vt:lpstr>12. RMHA COUNTRY TRAIL PLEASURE</vt:lpstr>
      <vt:lpstr>13. RMHA NOVICE SHOW PLEASURE</vt:lpstr>
      <vt:lpstr>14. RMHA AOT COUNTRY TRAIL PLEA</vt:lpstr>
      <vt:lpstr>15. RMHA LADIES TRAIL PLEASURE</vt:lpstr>
      <vt:lpstr>16. RMHA 3 YEAR OLD TRAIL PLEAS</vt:lpstr>
      <vt:lpstr>17. RMHA 11 AND UNDER SHOW PLEA</vt:lpstr>
      <vt:lpstr>18. RMHA YOUTH 12-17 TRAIL PLEA</vt:lpstr>
      <vt:lpstr>19. RMHA NOVICE COUNTRY TRAIL P</vt:lpstr>
      <vt:lpstr>20. RMHA AMATEUR SHOW PLEASURE</vt:lpstr>
      <vt:lpstr>21. RMHA 11 AND UNDER COUNTRY T</vt:lpstr>
      <vt:lpstr>22. RMHA COUNTRY TRAIL PLEASURE</vt:lpstr>
      <vt:lpstr>23. PINK CLASS (17 AND UNDER - </vt:lpstr>
      <vt:lpstr>24. PINK CLASS (ADULT)</vt:lpstr>
      <vt:lpstr>25. RMHA AOT TRAIL PLEASURE</vt:lpstr>
      <vt:lpstr>26. RMHA LADIES SHOW PLEASURE</vt:lpstr>
      <vt:lpstr>27. RMHA YOUTH 12-17 COUNTRY TR</vt:lpstr>
      <vt:lpstr>28. RMHA NOVICE TRAIL PLEASURE</vt:lpstr>
      <vt:lpstr>29. RMHA 3 YEAR OLD COUNTRY TRA</vt:lpstr>
      <vt:lpstr>30. RMHA TRAIL PLEASURE STALLIO</vt:lpstr>
      <vt:lpstr>31. RMHA AMATEUR COUNTRY TRAIL </vt:lpstr>
      <vt:lpstr>32. RMHA AOT SHOW PLEASURE</vt:lpstr>
      <vt:lpstr>33. OPEN TRAIL PLEASURE</vt:lpstr>
      <vt:lpstr>34. OPEN SHOWCLASSIC PLEASURE</vt:lpstr>
      <vt:lpstr>35. OPEN COUNTRY TRAIL PLEASURE</vt:lpstr>
      <vt:lpstr>36. RMHA YOUTH TRAIL PLEASURE C</vt:lpstr>
      <vt:lpstr>37. RMHA OPEN COUNTRY TRAIL PLE</vt:lpstr>
      <vt:lpstr>38. RMHA YOUTH SHOW PLEASURE CH</vt:lpstr>
      <vt:lpstr>39. RMHA OPEN TRAIL PLEASURE CH</vt:lpstr>
      <vt:lpstr>40. OPEN PLEASURE CHAMPIONSHIP</vt:lpstr>
      <vt:lpstr>41. RMHA YOUTH COUNTRY TRAIL PL</vt:lpstr>
      <vt:lpstr>42. RMHA OPEN SHOW PLEASURE CHA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Allen</dc:creator>
  <cp:lastModifiedBy>Emily Roberts</cp:lastModifiedBy>
  <cp:lastPrinted>2024-06-19T00:29:01Z</cp:lastPrinted>
  <dcterms:created xsi:type="dcterms:W3CDTF">2024-06-18T03:46:02Z</dcterms:created>
  <dcterms:modified xsi:type="dcterms:W3CDTF">2024-07-02T19:11:29Z</dcterms:modified>
</cp:coreProperties>
</file>